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autoCompressPictures="0"/>
  <mc:AlternateContent xmlns:mc="http://schemas.openxmlformats.org/markup-compatibility/2006">
    <mc:Choice Requires="x15">
      <x15ac:absPath xmlns:x15ac="http://schemas.microsoft.com/office/spreadsheetml/2010/11/ac" url="C:\Users\ekm235\Downloads\"/>
    </mc:Choice>
  </mc:AlternateContent>
  <xr:revisionPtr revIDLastSave="0" documentId="13_ncr:1_{E05B3195-B43C-4F09-8898-B93280076976}" xr6:coauthVersionLast="47" xr6:coauthVersionMax="47" xr10:uidLastSave="{00000000-0000-0000-0000-000000000000}"/>
  <bookViews>
    <workbookView xWindow="-120" yWindow="-120" windowWidth="29040" windowHeight="15720" tabRatio="611" xr2:uid="{00000000-000D-0000-FFFF-FFFF00000000}"/>
  </bookViews>
  <sheets>
    <sheet name="Start Here" sheetId="4" r:id="rId1"/>
    <sheet name="Budget Details" sheetId="1" r:id="rId2"/>
    <sheet name="Cumulative" sheetId="6" r:id="rId3"/>
    <sheet name=" Travel Calculator" sheetId="8" r:id="rId4"/>
    <sheet name="Summary_of_Personnel Costs " sheetId="9" state="hidden" r:id="rId5"/>
    <sheet name="Rates" sheetId="7" state="hidden" r:id="rId6"/>
  </sheets>
  <definedNames>
    <definedName name="CompSvcsTot">'Budget Details'!$Y$184</definedName>
    <definedName name="ConsultantTot">'Budget Details'!$Y$183</definedName>
    <definedName name="cs.Equip1">'Budget Details'!$AA$157</definedName>
    <definedName name="cs.Equip2">'Budget Details'!$AB$157</definedName>
    <definedName name="cs.Equip3">'Budget Details'!$AC$157</definedName>
    <definedName name="cs.Equip4">'Budget Details'!$AD$157</definedName>
    <definedName name="cs.Equip5">'Budget Details'!$AE$157</definedName>
    <definedName name="cs.EquipTot">'Budget Details'!$AF$157</definedName>
    <definedName name="cs.ForgoneIdcCalculation1">'Budget Details'!$AA$210</definedName>
    <definedName name="cs.ForgoneIdcCalculation2">'Budget Details'!$AB$210</definedName>
    <definedName name="cs.ForgoneIdcCalculation3">'Budget Details'!$AC$210</definedName>
    <definedName name="cs.ForgoneIdcCalculation4">'Budget Details'!$AD$210</definedName>
    <definedName name="cs.ForgoneIdcCalculation5">'Budget Details'!$AE$210</definedName>
    <definedName name="cs.ForgoneIdcCalculationTot">'Budget Details'!$AF$210</definedName>
    <definedName name="cs.GRA.Tuition1">'Budget Details'!$AA$148</definedName>
    <definedName name="cs.GRA.Tuition2">'Budget Details'!$AB$148</definedName>
    <definedName name="cs.GRA.Tuition3">'Budget Details'!$AC$148</definedName>
    <definedName name="cs.GRA.Tuition4">'Budget Details'!$AD$148</definedName>
    <definedName name="cs.GRA.Tuition5">'Budget Details'!$AE$148</definedName>
    <definedName name="cs.GRA.TutionTot">'Budget Details'!$AF$148</definedName>
    <definedName name="cs.GRABenefits1">'Budget Details'!$AA$135</definedName>
    <definedName name="cs.GRABenefits2">'Budget Details'!$AB$135</definedName>
    <definedName name="cs.GRABenefits3">'Budget Details'!$AC$135</definedName>
    <definedName name="cs.GRABenefits4">'Budget Details'!$AD$135</definedName>
    <definedName name="cs.GRABenefits5">'Budget Details'!$AE$135</definedName>
    <definedName name="cs.GRABenefitsToT">'Budget Details'!$AF$135</definedName>
    <definedName name="cs.GRASalary1">'Budget Details'!$AA$66</definedName>
    <definedName name="cs.GRASalary2">'Budget Details'!$AB$66</definedName>
    <definedName name="cs.GRASalary3">'Budget Details'!$AC$66</definedName>
    <definedName name="cs.GRASalary4">'Budget Details'!$AD$66</definedName>
    <definedName name="cs.GRASalary5">'Budget Details'!$AE$66</definedName>
    <definedName name="cs.GRASalaryToT">'Budget Details'!$AF$66</definedName>
    <definedName name="cs.IDCbase1">'Budget Details'!$AA$208</definedName>
    <definedName name="cs.IDCbase2">'Budget Details'!$AB$208</definedName>
    <definedName name="cs.IDCbase3">'Budget Details'!$AC$208</definedName>
    <definedName name="cs.IDCbase4">'Budget Details'!$AD$208</definedName>
    <definedName name="cs.IDCbase5">'Budget Details'!$AE$208</definedName>
    <definedName name="cs.IDCbaseTot">'Budget Details'!$AF$208</definedName>
    <definedName name="cs.IDCTot">'Budget Details'!$AF$209</definedName>
    <definedName name="cs.IDCYr1">'Budget Details'!$AA$209</definedName>
    <definedName name="cs.IDCYr2">'Budget Details'!$AB$209</definedName>
    <definedName name="cs.IDCYr3">'Budget Details'!$AC$209</definedName>
    <definedName name="cs.IDCYr4">'Budget Details'!$AD$209</definedName>
    <definedName name="cs.IDCYr5">'Budget Details'!$AE$209</definedName>
    <definedName name="cs.NICRARate">'Budget Details'!$AQ$210</definedName>
    <definedName name="cs.Oth.Fringe1">'Budget Details'!$AA$112</definedName>
    <definedName name="cs.Oth.Fringe2">'Budget Details'!$AB$112</definedName>
    <definedName name="cs.Oth.Fringe3">'Budget Details'!$AC$112</definedName>
    <definedName name="cs.Oth.Fringe4">'Budget Details'!$AD$112</definedName>
    <definedName name="cs.Oth.Fringe5">'Budget Details'!$AE$112</definedName>
    <definedName name="cs.Oth.FringeTot">'Budget Details'!$AF$112</definedName>
    <definedName name="cs.Oth.Salary1">'Budget Details'!$AA$53</definedName>
    <definedName name="cs.Oth.Salary2">'Budget Details'!$AB$53</definedName>
    <definedName name="cs.Oth.Salary3">'Budget Details'!$AC$53</definedName>
    <definedName name="cs.Oth.Salary4">'Budget Details'!$AD$53</definedName>
    <definedName name="cs.Oth.Salary5">'Budget Details'!$AE$53</definedName>
    <definedName name="cs.Oth.SalaryTot">'Budget Details'!$AF$53</definedName>
    <definedName name="cs.OthDirCost1">'Budget Details'!$AA$193</definedName>
    <definedName name="cs.OthDirCost2">'Budget Details'!$AB$193</definedName>
    <definedName name="cs.OthDirCost3">'Budget Details'!$AC$193</definedName>
    <definedName name="cs.OthDirCost4">'Budget Details'!$AD$193</definedName>
    <definedName name="cs.OthDirCost5">'Budget Details'!$AE$193</definedName>
    <definedName name="cs.OthDirCostTot">'Budget Details'!$AF$193</definedName>
    <definedName name="cs.OtherRates">'Budget Details'!$AS$209</definedName>
    <definedName name="cs.PSCTot">'Budget Details'!$AF$174</definedName>
    <definedName name="cs.PSCYr1">'Budget Details'!$AA$174</definedName>
    <definedName name="cs.PSCYr2">'Budget Details'!$AB$174</definedName>
    <definedName name="cs.PSCYr3">'Budget Details'!$AC$174</definedName>
    <definedName name="cs.PSCYr4">'Budget Details'!$AD$174</definedName>
    <definedName name="cs.PSCYr5">'Budget Details'!$AE$174</definedName>
    <definedName name="cs.RateOptions">'Budget Details'!$AM$209</definedName>
    <definedName name="cs.SrFringe1">'Budget Details'!$AA$89</definedName>
    <definedName name="cs.SrFringe2">'Budget Details'!$AB$89</definedName>
    <definedName name="cs.SrFringe3">'Budget Details'!$AC$89</definedName>
    <definedName name="cs.SrFringe4">'Budget Details'!$AD$89</definedName>
    <definedName name="cs.SrFringe5">'Budget Details'!$AE$89</definedName>
    <definedName name="cs.SrFringeTot">'Budget Details'!$AF$89</definedName>
    <definedName name="cs.SrSalary1">'Budget Details'!$AA$30</definedName>
    <definedName name="cs.SrSalary2">'Budget Details'!$AB$30</definedName>
    <definedName name="cs.SrSalary3">'Budget Details'!$AC$30</definedName>
    <definedName name="cs.SrSalary4">'Budget Details'!$AD$30</definedName>
    <definedName name="cs.SrSalary5">'Budget Details'!$AE$30</definedName>
    <definedName name="cs.SrSalaryTot">'Budget Details'!$AF$30</definedName>
    <definedName name="cs.SubTot1">'Budget Details'!$AA$205</definedName>
    <definedName name="cs.SubTot2">'Budget Details'!$AB$205</definedName>
    <definedName name="cs.SubTot3">'Budget Details'!$AC$205</definedName>
    <definedName name="cs.SubTot4">'Budget Details'!$AD$205</definedName>
    <definedName name="cs.SubTot5">'Budget Details'!$AE$205</definedName>
    <definedName name="cs.SubTotCombined">'Budget Details'!$AF$205</definedName>
    <definedName name="cs.TDCTot">'Budget Details'!$AF$206</definedName>
    <definedName name="cs.TDCY1">'Budget Details'!$AA$206</definedName>
    <definedName name="cs.TDCY2">'Budget Details'!$AB$206</definedName>
    <definedName name="cs.TDCY3">'Budget Details'!$AC$206</definedName>
    <definedName name="cs.TDCY4">'Budget Details'!$AD$206</definedName>
    <definedName name="cs.TDCY5">'Budget Details'!$AE$206</definedName>
    <definedName name="cs.Tot.Oth.Per.Ben.Tuit.Tot">'Budget Details'!$AF$149</definedName>
    <definedName name="cs.Tot.Oth.Per.Ben.Tuit1">'Budget Details'!$AA$149</definedName>
    <definedName name="cs.Tot.Oth.Per.Ben.Tuit2">'Budget Details'!$AB$149</definedName>
    <definedName name="cs.Tot.Oth.Per.Ben.Tuit3">'Budget Details'!$AC$149</definedName>
    <definedName name="cs.Tot.Oth.Per.Ben.Tuit4">'Budget Details'!$AD$149</definedName>
    <definedName name="cs.Tot.Oth.Per.Ben.Tuit5">'Budget Details'!$AE$149</definedName>
    <definedName name="cs.Tot.Oth.PerSalary1">'Budget Details'!$AA$67</definedName>
    <definedName name="cs.Tot.Oth.PerSalary2">'Budget Details'!$AB$67</definedName>
    <definedName name="cs.Tot.Oth.PerSalary3">'Budget Details'!$AC$67</definedName>
    <definedName name="cs.Tot.Oth.PerSalary4">'Budget Details'!$AD$67</definedName>
    <definedName name="cs.Tot.Oth.PerSalary5">'Budget Details'!$AE$67</definedName>
    <definedName name="cs.Tot.Oth.PerSalaryTot">'Budget Details'!$AF$67</definedName>
    <definedName name="cs.Travel1">'Budget Details'!$AA$166</definedName>
    <definedName name="cs.Travel2">'Budget Details'!$AB$166</definedName>
    <definedName name="cs.Travel3">'Budget Details'!$AC$166</definedName>
    <definedName name="cs.Travel4">'Budget Details'!$AD$166</definedName>
    <definedName name="cs.Travel5">'Budget Details'!$AE$166</definedName>
    <definedName name="cs.TravelTot">'Budget Details'!$AF$166</definedName>
    <definedName name="CSSub1Yr1">'Budget Details'!$AA$195</definedName>
    <definedName name="CSSub1Yr2">'Budget Details'!$AB$195</definedName>
    <definedName name="CSSub1Yr3">'Budget Details'!$AC$195</definedName>
    <definedName name="CSSub1Yr4">'Budget Details'!$AD$195</definedName>
    <definedName name="CSSub1Yr5">'Budget Details'!$AE$195</definedName>
    <definedName name="CSSub2Yr1">'Budget Details'!$AA$197</definedName>
    <definedName name="CSSub2Yr2">'Budget Details'!$AB$197</definedName>
    <definedName name="CSSub2Yr3">'Budget Details'!$AC$197</definedName>
    <definedName name="CSSub2Yr4">'Budget Details'!$AD$197</definedName>
    <definedName name="CSSub2Yr5">'Budget Details'!$AE$197</definedName>
    <definedName name="CSSub3Yr1">'Budget Details'!$AA$199</definedName>
    <definedName name="CSSub3Yr2">'Budget Details'!$AB$199</definedName>
    <definedName name="CSSub3Yr3">'Budget Details'!$AC$199</definedName>
    <definedName name="CSSub3Yr4">'Budget Details'!$AD$199</definedName>
    <definedName name="CSSub3Yr5">'Budget Details'!$AE$199</definedName>
    <definedName name="CSSub4Yr1">'Budget Details'!$AA$201</definedName>
    <definedName name="CSSub4Yr2">'Budget Details'!$AB$201</definedName>
    <definedName name="CSSub4Yr3">'Budget Details'!$AC$201</definedName>
    <definedName name="CSSub4Yr4">'Budget Details'!$AD$201</definedName>
    <definedName name="CSSub4Yr5">'Budget Details'!$AE$201</definedName>
    <definedName name="CSSub5Yr1">'Budget Details'!$AA$203</definedName>
    <definedName name="CSSub5Yr2">'Budget Details'!$AB$203</definedName>
    <definedName name="CSSub5Yr3">'Budget Details'!$AC$203</definedName>
    <definedName name="CSSub5Yr4">'Budget Details'!$AD$203</definedName>
    <definedName name="CSSub5Yr5">'Budget Details'!$AE$203</definedName>
    <definedName name="CSSubsExcl1">'Budget Details'!$AA$204,'Budget Details'!$AA$202,'Budget Details'!$AA$200,'Budget Details'!$AA$198,'Budget Details'!$AA$196</definedName>
    <definedName name="CSSubsExcl2">'Budget Details'!$AB$204,'Budget Details'!$AB$202,'Budget Details'!$AB$200,'Budget Details'!$AB$198,'Budget Details'!$AB$196</definedName>
    <definedName name="CSSubsExcl3">'Budget Details'!$AC$204,'Budget Details'!$AC$202,'Budget Details'!$AC$200,'Budget Details'!$AC$198,'Budget Details'!$AC$196</definedName>
    <definedName name="CSSubsExcl4">'Budget Details'!$AD$196,'Budget Details'!$AD$198,'Budget Details'!$AD$200,'Budget Details'!$AD$202,'Budget Details'!$AD$204</definedName>
    <definedName name="CSSubsExcl5">'Budget Details'!$AE$196,'Budget Details'!$AE$198,'Budget Details'!$AE$200,'Budget Details'!$AE$202,'Budget Details'!$AE$204</definedName>
    <definedName name="DomesticTravelTOT">'Budget Details'!$Y$160</definedName>
    <definedName name="Equip1">'Budget Details'!$T$157</definedName>
    <definedName name="Equip2">'Budget Details'!$U$157</definedName>
    <definedName name="Equip3">'Budget Details'!$V$157</definedName>
    <definedName name="Equip4">'Budget Details'!$W$157</definedName>
    <definedName name="Equip5">'Budget Details'!$X$157</definedName>
    <definedName name="EquipTOT">'Budget Details'!$Y$157</definedName>
    <definedName name="ExclCSSub1Yr1">'Budget Details'!$AA$196</definedName>
    <definedName name="ExclCSSub1Yr2">'Budget Details'!$AB$196</definedName>
    <definedName name="ExclCSSub1Yr3">'Budget Details'!$AC$196</definedName>
    <definedName name="ExclCSSub1Yr4">'Budget Details'!$AD$196</definedName>
    <definedName name="ExclCSSub1Yr5">'Budget Details'!$AE$196</definedName>
    <definedName name="ExclCSSub2Yr1">'Budget Details'!$AA$198</definedName>
    <definedName name="ExclCSSub2Yr2">'Budget Details'!$AB$198</definedName>
    <definedName name="ExclCSSub2Yr3">'Budget Details'!$AC$198</definedName>
    <definedName name="ExclCSSub2Yr4">'Budget Details'!$AD$198</definedName>
    <definedName name="ExclCSSub2Yr5">'Budget Details'!$AE$198</definedName>
    <definedName name="ExclCSSub3Yr1">'Budget Details'!$AA$200</definedName>
    <definedName name="ExclCSSub3Yr2">'Budget Details'!$AB$200</definedName>
    <definedName name="ExclCSSub3Yr3">'Budget Details'!$AC$200</definedName>
    <definedName name="ExclCSSub3Yr4">'Budget Details'!$AD$200</definedName>
    <definedName name="ExclCSSub3Yr5">'Budget Details'!$AE$200</definedName>
    <definedName name="ExclCSSub4Yr1">'Budget Details'!$AA$202</definedName>
    <definedName name="ExclCSSub4Yr2">'Budget Details'!$AB$202</definedName>
    <definedName name="ExclCSSub4Yr3">'Budget Details'!$AC$202</definedName>
    <definedName name="ExclCSSub4Yr4">'Budget Details'!$AD$202</definedName>
    <definedName name="ExclCSSub4Yr5">'Budget Details'!$AE$202</definedName>
    <definedName name="ExclCSSub5Yr1">'Budget Details'!$AA$204</definedName>
    <definedName name="ExclCSSub5Yr2">'Budget Details'!$AB$204</definedName>
    <definedName name="ExclCSSub5Yr3">'Budget Details'!$AC$204</definedName>
    <definedName name="ExclCSSub5Yr4">'Budget Details'!$AD$204</definedName>
    <definedName name="ExclCSSub5Yr5">'Budget Details'!$AE$204</definedName>
    <definedName name="ExclSub1ToT">'Budget Details'!$Y$196</definedName>
    <definedName name="ExclSub1Yr1">'Budget Details'!$T$196</definedName>
    <definedName name="ExclSub1Yr2">'Budget Details'!$U$196</definedName>
    <definedName name="ExclSub1Yr3">'Budget Details'!$V$196</definedName>
    <definedName name="ExclSub1Yr4">'Budget Details'!$W$196</definedName>
    <definedName name="ExclSub1Yr5">'Budget Details'!$X$196</definedName>
    <definedName name="ExclSub2Yr1">'Budget Details'!$T$198</definedName>
    <definedName name="ExclSub2Yr2">'Budget Details'!$U$198</definedName>
    <definedName name="ExclSub2Yr3">'Budget Details'!$V$198</definedName>
    <definedName name="ExclSub2Yr4">'Budget Details'!$W$198</definedName>
    <definedName name="ExclSub2Yr5">'Budget Details'!$X$198</definedName>
    <definedName name="ExclSub3Yr1">'Budget Details'!$T$200</definedName>
    <definedName name="ExclSub3Yr2">'Budget Details'!$U$200</definedName>
    <definedName name="ExclSub3Yr3">'Budget Details'!$V$200</definedName>
    <definedName name="ExclSub3Yr4">'Budget Details'!$W$200</definedName>
    <definedName name="ExclSub3Yr5">'Budget Details'!$X$200</definedName>
    <definedName name="ExclSub4Yr1">'Budget Details'!$T$202</definedName>
    <definedName name="ExclSub4Yr2">'Budget Details'!$U$202</definedName>
    <definedName name="ExclSub4Yr3">'Budget Details'!$V$202</definedName>
    <definedName name="ExclSub4Yr4">'Budget Details'!$W$202</definedName>
    <definedName name="ExclSub4Yr5">'Budget Details'!$X$202</definedName>
    <definedName name="ExclSub5ToT">'Budget Details'!$Y$204</definedName>
    <definedName name="ExclSub5Yr1">'Budget Details'!$T$204</definedName>
    <definedName name="ExclSub5Yr2">'Budget Details'!$U$204</definedName>
    <definedName name="ExclSub5Yr3">'Budget Details'!$V$204</definedName>
    <definedName name="ExclSub5Yr4">'Budget Details'!$W$204</definedName>
    <definedName name="ExclSub5Yr5">'Budget Details'!$X$204</definedName>
    <definedName name="FullInsurance">'Budget Details'!$G$117</definedName>
    <definedName name="GRABenefits1">'Budget Details'!$T$135</definedName>
    <definedName name="GRABenefits2">'Budget Details'!$U$135</definedName>
    <definedName name="GRABenefits3">'Budget Details'!$V$135</definedName>
    <definedName name="GRABenefits4">'Budget Details'!$W$135</definedName>
    <definedName name="GRABenefits5">'Budget Details'!$X$135</definedName>
    <definedName name="GRABenefitsToT">'Budget Details'!$Y$135</definedName>
    <definedName name="IDCBase1">'Budget Details'!$T$208</definedName>
    <definedName name="IDCBase2">'Budget Details'!$U$208</definedName>
    <definedName name="IDCBase3">'Budget Details'!$V$208</definedName>
    <definedName name="IDCBase4">'Budget Details'!$W$208</definedName>
    <definedName name="IDCBase5">'Budget Details'!$X$208</definedName>
    <definedName name="IDCBaseTOT">'Budget Details'!$Y$208</definedName>
    <definedName name="IDCRate">'Budget Details'!$G$209</definedName>
    <definedName name="IDCTOT">'Budget Details'!$Y$209</definedName>
    <definedName name="IDCYr1">'Budget Details'!$T$209</definedName>
    <definedName name="IDCYr2">'Budget Details'!$U$209</definedName>
    <definedName name="IDCYr3">'Budget Details'!$V$209</definedName>
    <definedName name="IDCYr4">'Budget Details'!$W$209</definedName>
    <definedName name="IDCYr5">'Budget Details'!$X$209</definedName>
    <definedName name="InternatTravelTOT">'Budget Details'!$Y$163</definedName>
    <definedName name="MatSupTOT">'Budget Details'!$Y$177</definedName>
    <definedName name="MTDCbase">'Budget Details'!$G$209</definedName>
    <definedName name="MTDCBase1">'Budget Details'!$T$208</definedName>
    <definedName name="NICRARates">'Budget Details'!$AP$209</definedName>
    <definedName name="Oth.PerBenefitsTuition1">'Budget Details'!$T$149</definedName>
    <definedName name="Oth.PerBenefitsTuition2">'Budget Details'!$U$149</definedName>
    <definedName name="Oth.PerBenefitsTuition3">'Budget Details'!$V$149</definedName>
    <definedName name="Oth.PerBenefitsTuition4">'Budget Details'!$W$149</definedName>
    <definedName name="Oth.PerBenefitsTuition5">'Budget Details'!$X$149</definedName>
    <definedName name="Oth.PerBenefitsTuitionToT">'Budget Details'!$Y$149</definedName>
    <definedName name="OtherDirCosts1">'Budget Details'!$T$193</definedName>
    <definedName name="OtherDirCosts2">'Budget Details'!$U$193</definedName>
    <definedName name="OtherDirCosts3">'Budget Details'!$V$193</definedName>
    <definedName name="OtherDirCosts4">'Budget Details'!$W$193</definedName>
    <definedName name="OtherDirCosts5">'Budget Details'!$X$193</definedName>
    <definedName name="OtherDirCostsTOT">'Budget Details'!$Y$193</definedName>
    <definedName name="OtherGRASalary1">'Budget Details'!$T$66</definedName>
    <definedName name="OtherGRASalary2">'Budget Details'!$U$66</definedName>
    <definedName name="OtherGRASalary3">'Budget Details'!$V$66</definedName>
    <definedName name="OtherGRASalary4">'Budget Details'!$W$66</definedName>
    <definedName name="OtherGRASalary5">'Budget Details'!$X$66</definedName>
    <definedName name="OtherGRASalaryTot">'Budget Details'!$Y$66</definedName>
    <definedName name="OtherPersonalSalaryToT">'Budget Details'!$Y$67</definedName>
    <definedName name="OtherPersonnelBenefits1">'Budget Details'!$T$112</definedName>
    <definedName name="OtherPersonnelBenefits2">'Budget Details'!$U$112</definedName>
    <definedName name="OtherPersonnelBenefits3">'Budget Details'!$V$112</definedName>
    <definedName name="OtherPersonnelBenefits4">'Budget Details'!$W$112</definedName>
    <definedName name="OtherPersonnelBenefits5">'Budget Details'!$X$112</definedName>
    <definedName name="OtherPersonnelBenefitsToT">'Budget Details'!$Y$112</definedName>
    <definedName name="OtherPersonnelSalary2">'Budget Details'!$U$67</definedName>
    <definedName name="OtherPersonnelSalary3">'Budget Details'!$V$67</definedName>
    <definedName name="OtherPersonnelSalary4">'Budget Details'!$W$67</definedName>
    <definedName name="OtherPersonnelSalary5">'Budget Details'!$X$67</definedName>
    <definedName name="OtherPersonnnelSalary1">'Budget Details'!$T$67</definedName>
    <definedName name="OtherRate">'Budget Details'!$L$209</definedName>
    <definedName name="OtherRates">'Budget Details'!$AS$209</definedName>
    <definedName name="OtherSalary1">'Budget Details'!$T$53</definedName>
    <definedName name="OtherSalary2">'Budget Details'!$U$53</definedName>
    <definedName name="OtherSalary3">'Budget Details'!$V$53</definedName>
    <definedName name="OtherSalary4">'Budget Details'!$W$53</definedName>
    <definedName name="OtherSalary5">'Budget Details'!$X$53</definedName>
    <definedName name="OtherSalaryTot">'Budget Details'!$Y$53</definedName>
    <definedName name="_xlnm.Print_Area" localSheetId="1">'Budget Details'!$B$1:$Y$211</definedName>
    <definedName name="PSCTot">'Budget Details'!$Y$174</definedName>
    <definedName name="PSCYr1">'Budget Details'!$T$174</definedName>
    <definedName name="PSCYr2">'Budget Details'!$U$174</definedName>
    <definedName name="PSCYr3">'Budget Details'!$V$174</definedName>
    <definedName name="PSCYr4">'Budget Details'!$W$174</definedName>
    <definedName name="PSCYr5">'Budget Details'!$X$174</definedName>
    <definedName name="PubTOT">'Budget Details'!$Y$182</definedName>
    <definedName name="RateOptions">'Budget Details'!$D$209</definedName>
    <definedName name="SrFringe1">'Budget Details'!$T$89</definedName>
    <definedName name="SrFringe2">'Budget Details'!$U$89</definedName>
    <definedName name="SrFringe3">'Budget Details'!$V$89</definedName>
    <definedName name="SrFringe4">'Budget Details'!$W$89</definedName>
    <definedName name="SrFringe5">'Budget Details'!$X$89</definedName>
    <definedName name="SrFringeTot">'Budget Details'!$Y$89</definedName>
    <definedName name="SrSalary1">'Budget Details'!$T$30</definedName>
    <definedName name="SrSalary2">'Budget Details'!$U$30</definedName>
    <definedName name="SrSalary3">'Budget Details'!$V$30</definedName>
    <definedName name="SrSalary4">'Budget Details'!$W$30</definedName>
    <definedName name="SrSalary5">'Budget Details'!$X$30</definedName>
    <definedName name="SrSalaryToT">'Budget Details'!$Y$30</definedName>
    <definedName name="Sub1TOT">'Budget Details'!$T$195:$V$196</definedName>
    <definedName name="Sub1Yr1">'Budget Details'!$T$195</definedName>
    <definedName name="Sub1Yr2">'Budget Details'!$U$195</definedName>
    <definedName name="Sub1Yr3">'Budget Details'!$V$195</definedName>
    <definedName name="Sub1Yr4">'Budget Details'!$W$195</definedName>
    <definedName name="Sub1Yr5">'Budget Details'!$X$195</definedName>
    <definedName name="Sub2TOT">'Budget Details'!$T$197:$V$198</definedName>
    <definedName name="Sub2Yr1">'Budget Details'!$T$197</definedName>
    <definedName name="Sub2Yr2">'Budget Details'!$U$197</definedName>
    <definedName name="Sub2Yr3">'Budget Details'!$V$197</definedName>
    <definedName name="Sub2Yr4">'Budget Details'!$W$197</definedName>
    <definedName name="Sub2Yr5">'Budget Details'!$X$197</definedName>
    <definedName name="Sub3TOT">'Budget Details'!$T$199:$V$200</definedName>
    <definedName name="Sub3Yr1">'Budget Details'!$T$199</definedName>
    <definedName name="Sub3Yr2">'Budget Details'!$U$199</definedName>
    <definedName name="Sub3Yr3">'Budget Details'!$V$199</definedName>
    <definedName name="Sub3Yr4">'Budget Details'!$W$199</definedName>
    <definedName name="Sub3Yr5">'Budget Details'!$X$199</definedName>
    <definedName name="Sub4TOT">'Budget Details'!$T$201:$V$202</definedName>
    <definedName name="Sub4Yr1">'Budget Details'!$T$201</definedName>
    <definedName name="Sub4Yr2">'Budget Details'!$U$201</definedName>
    <definedName name="Sub4Yr3">'Budget Details'!$V$201</definedName>
    <definedName name="Sub4Yr4">'Budget Details'!$W$201</definedName>
    <definedName name="Sub4Yr5">'Budget Details'!$X$201</definedName>
    <definedName name="Sub5TOT">'Budget Details'!$T$203:$V$204</definedName>
    <definedName name="Sub5Yr1">'Budget Details'!$T$203</definedName>
    <definedName name="Sub5Yr2">'Budget Details'!$U$203</definedName>
    <definedName name="Sub5Yr3">'Budget Details'!$V$203</definedName>
    <definedName name="Sub5Yr4">'Budget Details'!$W$203</definedName>
    <definedName name="Sub5Yr5">'Budget Details'!$X$203</definedName>
    <definedName name="SubAwrdTtl1">'Budget Details'!$T$205</definedName>
    <definedName name="SubAwrdTtl2">'Budget Details'!$U$205</definedName>
    <definedName name="SubAwrdTtl3">'Budget Details'!$V$205</definedName>
    <definedName name="SubAwrdTtl4">'Budget Details'!$W$205</definedName>
    <definedName name="SubAwrdTtl5">'Budget Details'!$X$205</definedName>
    <definedName name="SubsYr1Excl">'Budget Details'!$T$196,'Budget Details'!$T$198,'Budget Details'!$T$200,'Budget Details'!$T$202,'Budget Details'!$T$204</definedName>
    <definedName name="SubsYr2Excl">'Budget Details'!$U$196,'Budget Details'!$U$198,'Budget Details'!$U$200,'Budget Details'!$U$202,'Budget Details'!$U$204</definedName>
    <definedName name="SubsYr3Excl">'Budget Details'!$V$196,'Budget Details'!$V$198,'Budget Details'!$V$200,'Budget Details'!$V$202,'Budget Details'!$V$204</definedName>
    <definedName name="SubsYr4Excl">'Budget Details'!$W$196,'Budget Details'!$W$198,'Budget Details'!$W$200,'Budget Details'!$W$202,'Budget Details'!$W$204</definedName>
    <definedName name="SubsYr5Excl">'Budget Details'!$X$196,'Budget Details'!$X$198,'Budget Details'!$X$200,'Budget Details'!$X$202,'Budget Details'!$X$204</definedName>
    <definedName name="TDCTOT">'Budget Details'!$Y$206</definedName>
    <definedName name="TDCYr1">'Budget Details'!$T$206</definedName>
    <definedName name="TDCYr2">'Budget Details'!$U$206</definedName>
    <definedName name="TDCYr3">'Budget Details'!$V$206</definedName>
    <definedName name="TDCYr4">'Budget Details'!$W$206</definedName>
    <definedName name="TDCYr5">'Budget Details'!$X$206</definedName>
    <definedName name="TotalCostShare1">'Budget Details'!$AA$211</definedName>
    <definedName name="TotalCostShare2">'Budget Details'!$AB$211</definedName>
    <definedName name="TotalCostShare3">'Budget Details'!$AC$211</definedName>
    <definedName name="TotalCostShare4">'Budget Details'!$AD$211</definedName>
    <definedName name="TotalCostShare5">'Budget Details'!$AE$211</definedName>
    <definedName name="TotalCostShareCombined">'Budget Details'!$AF$211</definedName>
    <definedName name="TotalCostsTOT">'Budget Details'!$Y$211</definedName>
    <definedName name="TotalCostsYr1">'Budget Details'!$T$211</definedName>
    <definedName name="TotalCostsYr2">'Budget Details'!$U$211</definedName>
    <definedName name="TotalCostsYr3">'Budget Details'!$V$211</definedName>
    <definedName name="TotalCostsYr4">'Budget Details'!$W$211</definedName>
    <definedName name="TotalCostsYr5">'Budget Details'!$X$211</definedName>
    <definedName name="Travel1">'Budget Details'!$T$166</definedName>
    <definedName name="Travel2">'Budget Details'!$U$166</definedName>
    <definedName name="Travel3">'Budget Details'!$V$166</definedName>
    <definedName name="Travel4">'Budget Details'!$W$166</definedName>
    <definedName name="Travel5">'Budget Details'!$X$166</definedName>
    <definedName name="TravelTOT">'Budget Details'!$Y$166</definedName>
    <definedName name="Tuition1">'Budget Details'!$T$148</definedName>
    <definedName name="Tuition2">'Budget Details'!$U$148</definedName>
    <definedName name="Tuition3">'Budget Details'!$V$148</definedName>
    <definedName name="Tuition4">'Budget Details'!$W$148</definedName>
    <definedName name="Tuition5">'Budget Details'!$X$148</definedName>
    <definedName name="TuitionTotal">'Budget Details'!$Y$148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X205" i="1" l="1"/>
  <c r="W205" i="1"/>
  <c r="V205" i="1"/>
  <c r="U205" i="1"/>
  <c r="T205" i="1"/>
  <c r="Y205" i="1" s="1"/>
  <c r="X193" i="1"/>
  <c r="W193" i="1"/>
  <c r="V193" i="1"/>
  <c r="U193" i="1"/>
  <c r="T193" i="1"/>
  <c r="Y193" i="1"/>
  <c r="Y183" i="1"/>
  <c r="Y184" i="1"/>
  <c r="Y185" i="1"/>
  <c r="Y186" i="1"/>
  <c r="Y187" i="1"/>
  <c r="Y188" i="1"/>
  <c r="Y189" i="1"/>
  <c r="Y190" i="1"/>
  <c r="Y191" i="1"/>
  <c r="Y192" i="1"/>
  <c r="Y182" i="1"/>
  <c r="Y177" i="1"/>
  <c r="W174" i="1"/>
  <c r="Y169" i="1"/>
  <c r="X170" i="1"/>
  <c r="X174" i="1" s="1"/>
  <c r="X171" i="1"/>
  <c r="X172" i="1"/>
  <c r="X173" i="1"/>
  <c r="X169" i="1"/>
  <c r="W173" i="1"/>
  <c r="W172" i="1"/>
  <c r="W170" i="1"/>
  <c r="W171" i="1"/>
  <c r="W169" i="1"/>
  <c r="V170" i="1"/>
  <c r="V174" i="1" s="1"/>
  <c r="V171" i="1"/>
  <c r="V172" i="1"/>
  <c r="V173" i="1"/>
  <c r="V169" i="1"/>
  <c r="U170" i="1"/>
  <c r="U174" i="1" s="1"/>
  <c r="U171" i="1"/>
  <c r="U172" i="1"/>
  <c r="U173" i="1"/>
  <c r="U169" i="1"/>
  <c r="T171" i="1"/>
  <c r="Y171" i="1" s="1"/>
  <c r="T172" i="1"/>
  <c r="Y172" i="1" s="1"/>
  <c r="T173" i="1"/>
  <c r="Y173" i="1" s="1"/>
  <c r="T170" i="1"/>
  <c r="T174" i="1" s="1"/>
  <c r="T169" i="1"/>
  <c r="X138" i="1" a="1"/>
  <c r="X138" i="1" s="1"/>
  <c r="W138" i="1" a="1"/>
  <c r="W138" i="1" s="1"/>
  <c r="V138" i="1" a="1"/>
  <c r="V138" i="1" s="1"/>
  <c r="U138" i="1" a="1"/>
  <c r="U138" i="1" s="1"/>
  <c r="T138" i="1" a="1"/>
  <c r="T138" i="1" s="1"/>
  <c r="Y134" i="1"/>
  <c r="Y130" i="1"/>
  <c r="Y126" i="1"/>
  <c r="Y122" i="1"/>
  <c r="X117" i="1" a="1"/>
  <c r="X117" i="1" s="1"/>
  <c r="W117" i="1" a="1"/>
  <c r="W117" i="1" s="1"/>
  <c r="V117" i="1" a="1"/>
  <c r="V117" i="1" s="1"/>
  <c r="U117" i="1" a="1"/>
  <c r="U117" i="1" s="1"/>
  <c r="T117" i="1" a="1"/>
  <c r="T117" i="1" s="1"/>
  <c r="X65" i="1"/>
  <c r="X64" i="1" a="1"/>
  <c r="X64" i="1" s="1"/>
  <c r="X63" i="1"/>
  <c r="X62" i="1" a="1"/>
  <c r="X62" i="1" s="1"/>
  <c r="X61" i="1"/>
  <c r="X59" i="1"/>
  <c r="X58" i="1" a="1"/>
  <c r="X58" i="1" s="1"/>
  <c r="X57" i="1"/>
  <c r="W65" i="1"/>
  <c r="W64" i="1" a="1"/>
  <c r="W64" i="1" s="1"/>
  <c r="W63" i="1"/>
  <c r="W62" i="1" a="1"/>
  <c r="W62" i="1" s="1"/>
  <c r="W61" i="1"/>
  <c r="W59" i="1"/>
  <c r="W58" i="1" a="1"/>
  <c r="W58" i="1" s="1"/>
  <c r="W57" i="1"/>
  <c r="V65" i="1"/>
  <c r="V64" i="1" a="1"/>
  <c r="V64" i="1" s="1"/>
  <c r="V63" i="1"/>
  <c r="V62" i="1" a="1"/>
  <c r="V62" i="1" s="1"/>
  <c r="V61" i="1"/>
  <c r="Y12" i="1"/>
  <c r="Y13" i="1"/>
  <c r="Y14" i="1"/>
  <c r="Y15" i="1"/>
  <c r="Y16" i="1"/>
  <c r="Y17" i="1"/>
  <c r="Y18" i="1"/>
  <c r="Y19" i="1"/>
  <c r="Y11" i="1"/>
  <c r="Y118" i="1"/>
  <c r="Y115" i="1"/>
  <c r="Y71" i="1"/>
  <c r="Y72" i="1"/>
  <c r="Y73" i="1"/>
  <c r="Y74" i="1"/>
  <c r="Y75" i="1"/>
  <c r="Y76" i="1"/>
  <c r="Y77" i="1"/>
  <c r="Y78" i="1"/>
  <c r="Y70" i="1"/>
  <c r="Y57" i="1"/>
  <c r="Y56" i="1"/>
  <c r="Y60" i="1"/>
  <c r="X60" i="1" a="1"/>
  <c r="X60" i="1" s="1"/>
  <c r="W60" i="1" a="1"/>
  <c r="W60" i="1" s="1"/>
  <c r="V60" i="1" a="1"/>
  <c r="V60" i="1" s="1"/>
  <c r="V59" i="1"/>
  <c r="V58" i="1" a="1"/>
  <c r="V58" i="1" s="1"/>
  <c r="V57" i="1"/>
  <c r="U65" i="1"/>
  <c r="U64" i="1" a="1"/>
  <c r="U64" i="1" s="1"/>
  <c r="U63" i="1"/>
  <c r="U62" i="1" a="1"/>
  <c r="U62" i="1" s="1"/>
  <c r="U61" i="1"/>
  <c r="U60" i="1" a="1"/>
  <c r="U60" i="1" s="1"/>
  <c r="U59" i="1"/>
  <c r="U58" i="1" a="1"/>
  <c r="U58" i="1" s="1"/>
  <c r="U66" i="1" s="1"/>
  <c r="U57" i="1"/>
  <c r="T65" i="1"/>
  <c r="T64" i="1" a="1"/>
  <c r="T64" i="1" s="1"/>
  <c r="T63" i="1"/>
  <c r="T62" i="1" a="1"/>
  <c r="T62" i="1" s="1"/>
  <c r="T61" i="1"/>
  <c r="T60" i="1" a="1"/>
  <c r="T60" i="1" s="1"/>
  <c r="T59" i="1"/>
  <c r="T58" i="1" a="1"/>
  <c r="T58" i="1" s="1"/>
  <c r="T66" i="1" s="1"/>
  <c r="T57" i="1"/>
  <c r="X56" i="1" a="1"/>
  <c r="X56" i="1" s="1"/>
  <c r="W56" i="1" a="1"/>
  <c r="W56" i="1" s="1"/>
  <c r="V56" i="1" a="1"/>
  <c r="V56" i="1" s="1"/>
  <c r="U56" i="1" a="1"/>
  <c r="U56" i="1" s="1"/>
  <c r="T56" i="1" a="1"/>
  <c r="T56" i="1" s="1"/>
  <c r="T11" i="1"/>
  <c r="T12" i="1"/>
  <c r="T13" i="1"/>
  <c r="T14" i="1"/>
  <c r="T15" i="1"/>
  <c r="T16" i="1"/>
  <c r="T17" i="1"/>
  <c r="T18" i="1"/>
  <c r="C23" i="7"/>
  <c r="C22" i="7"/>
  <c r="C21" i="7"/>
  <c r="C16" i="7"/>
  <c r="G209" i="1" a="1"/>
  <c r="G209" i="1" s="1"/>
  <c r="AD205" i="1"/>
  <c r="AE205" i="1"/>
  <c r="Y59" i="1" l="1"/>
  <c r="Y170" i="1"/>
  <c r="Y174" i="1" s="1"/>
  <c r="Y138" i="1"/>
  <c r="Y117" i="1"/>
  <c r="Y65" i="1"/>
  <c r="Y61" i="1"/>
  <c r="Y58" i="1"/>
  <c r="X66" i="1"/>
  <c r="Y64" i="1"/>
  <c r="Y63" i="1"/>
  <c r="Y62" i="1"/>
  <c r="W66" i="1"/>
  <c r="V66" i="1"/>
  <c r="AB210" i="1"/>
  <c r="AA210" i="1"/>
  <c r="AA64" i="1" l="1" a="1"/>
  <c r="AA64" i="1" s="1"/>
  <c r="N56" i="1" a="1"/>
  <c r="N56" i="1" s="1"/>
  <c r="B139" i="1"/>
  <c r="B138" i="1"/>
  <c r="B116" i="1"/>
  <c r="B115" i="1"/>
  <c r="U13" i="1" l="1"/>
  <c r="V11" i="1"/>
  <c r="U11" i="1"/>
  <c r="E90" i="4"/>
  <c r="N57" i="1"/>
  <c r="Q5" i="8"/>
  <c r="Q6" i="8"/>
  <c r="Q7" i="8"/>
  <c r="Q8" i="8"/>
  <c r="Q9" i="8"/>
  <c r="Q10" i="8"/>
  <c r="Q11" i="8"/>
  <c r="Q12" i="8"/>
  <c r="Q13" i="8"/>
  <c r="Q4" i="8"/>
  <c r="N4" i="8"/>
  <c r="L64" i="9"/>
  <c r="L65" i="9"/>
  <c r="K65" i="9"/>
  <c r="K64" i="9"/>
  <c r="L62" i="9"/>
  <c r="L63" i="9"/>
  <c r="K63" i="9"/>
  <c r="K62" i="9"/>
  <c r="L60" i="9"/>
  <c r="L61" i="9"/>
  <c r="K61" i="9"/>
  <c r="K60" i="9"/>
  <c r="L58" i="9"/>
  <c r="L59" i="9"/>
  <c r="K59" i="9"/>
  <c r="K58" i="9"/>
  <c r="K57" i="9"/>
  <c r="L57" i="9"/>
  <c r="L56" i="9"/>
  <c r="K56" i="9"/>
  <c r="C57" i="9"/>
  <c r="C58" i="9"/>
  <c r="C59" i="9"/>
  <c r="C60" i="9"/>
  <c r="C61" i="9"/>
  <c r="C62" i="9"/>
  <c r="C63" i="9"/>
  <c r="C64" i="9"/>
  <c r="C65" i="9"/>
  <c r="B57" i="9"/>
  <c r="B58" i="9"/>
  <c r="B59" i="9"/>
  <c r="B60" i="9"/>
  <c r="B61" i="9"/>
  <c r="B62" i="9"/>
  <c r="B63" i="9"/>
  <c r="B64" i="9"/>
  <c r="B65" i="9"/>
  <c r="C56" i="9"/>
  <c r="B56" i="9"/>
  <c r="L7" i="9"/>
  <c r="L8" i="9"/>
  <c r="L9" i="9"/>
  <c r="L10" i="9"/>
  <c r="L11" i="9"/>
  <c r="L12" i="9"/>
  <c r="L13" i="9"/>
  <c r="L14" i="9"/>
  <c r="L15" i="9"/>
  <c r="L16" i="9"/>
  <c r="L17" i="9"/>
  <c r="L18" i="9"/>
  <c r="L19" i="9"/>
  <c r="L20" i="9"/>
  <c r="L21" i="9"/>
  <c r="L22" i="9"/>
  <c r="L23" i="9"/>
  <c r="L24" i="9"/>
  <c r="L25" i="9"/>
  <c r="L6" i="9"/>
  <c r="K7" i="9"/>
  <c r="K8" i="9"/>
  <c r="K9" i="9"/>
  <c r="K10" i="9"/>
  <c r="K11" i="9"/>
  <c r="K12" i="9"/>
  <c r="K13" i="9"/>
  <c r="K14" i="9"/>
  <c r="K15" i="9"/>
  <c r="K16" i="9"/>
  <c r="K17" i="9"/>
  <c r="K18" i="9"/>
  <c r="K19" i="9"/>
  <c r="K20" i="9"/>
  <c r="K21" i="9"/>
  <c r="K22" i="9"/>
  <c r="K23" i="9"/>
  <c r="K24" i="9"/>
  <c r="K25" i="9"/>
  <c r="K6" i="9"/>
  <c r="Q50" i="9"/>
  <c r="P50" i="9"/>
  <c r="O50" i="9"/>
  <c r="K50" i="9"/>
  <c r="Q49" i="9"/>
  <c r="P49" i="9"/>
  <c r="O49" i="9"/>
  <c r="K49" i="9"/>
  <c r="Q48" i="9"/>
  <c r="P48" i="9"/>
  <c r="O48" i="9"/>
  <c r="K48" i="9"/>
  <c r="Q47" i="9"/>
  <c r="P47" i="9"/>
  <c r="O47" i="9"/>
  <c r="K47" i="9"/>
  <c r="Q46" i="9"/>
  <c r="P46" i="9"/>
  <c r="O46" i="9"/>
  <c r="K46" i="9"/>
  <c r="Q45" i="9"/>
  <c r="P45" i="9"/>
  <c r="O45" i="9"/>
  <c r="K45" i="9"/>
  <c r="Q44" i="9"/>
  <c r="P44" i="9"/>
  <c r="O44" i="9"/>
  <c r="K44" i="9"/>
  <c r="Q43" i="9"/>
  <c r="P43" i="9"/>
  <c r="O43" i="9"/>
  <c r="K43" i="9"/>
  <c r="Q42" i="9"/>
  <c r="P42" i="9"/>
  <c r="O42" i="9"/>
  <c r="K42" i="9"/>
  <c r="Q41" i="9"/>
  <c r="P41" i="9"/>
  <c r="O41" i="9"/>
  <c r="K41" i="9"/>
  <c r="Q40" i="9"/>
  <c r="P40" i="9"/>
  <c r="O40" i="9"/>
  <c r="K40" i="9"/>
  <c r="Q39" i="9"/>
  <c r="P39" i="9"/>
  <c r="O39" i="9"/>
  <c r="K39" i="9"/>
  <c r="Q38" i="9"/>
  <c r="P38" i="9"/>
  <c r="O38" i="9"/>
  <c r="K38" i="9"/>
  <c r="Q37" i="9"/>
  <c r="P37" i="9"/>
  <c r="O37" i="9"/>
  <c r="K37" i="9"/>
  <c r="Q36" i="9"/>
  <c r="P36" i="9"/>
  <c r="O36" i="9"/>
  <c r="K36" i="9"/>
  <c r="Q35" i="9"/>
  <c r="P35" i="9"/>
  <c r="O35" i="9"/>
  <c r="K35" i="9"/>
  <c r="Q34" i="9"/>
  <c r="P34" i="9"/>
  <c r="O34" i="9"/>
  <c r="K34" i="9"/>
  <c r="Q33" i="9"/>
  <c r="P33" i="9"/>
  <c r="O33" i="9"/>
  <c r="K33" i="9"/>
  <c r="Q32" i="9"/>
  <c r="P32" i="9"/>
  <c r="O32" i="9"/>
  <c r="K32" i="9"/>
  <c r="Q31" i="9"/>
  <c r="P31" i="9"/>
  <c r="O31" i="9"/>
  <c r="K31" i="9"/>
  <c r="B50" i="9"/>
  <c r="B32" i="9"/>
  <c r="B33" i="9"/>
  <c r="B34" i="9"/>
  <c r="B35" i="9"/>
  <c r="B36" i="9"/>
  <c r="B37" i="9"/>
  <c r="B38" i="9"/>
  <c r="B39" i="9"/>
  <c r="B40" i="9"/>
  <c r="B41" i="9"/>
  <c r="B42" i="9"/>
  <c r="B43" i="9"/>
  <c r="B44" i="9"/>
  <c r="B45" i="9"/>
  <c r="B46" i="9"/>
  <c r="B47" i="9"/>
  <c r="B48" i="9"/>
  <c r="B49" i="9"/>
  <c r="B31" i="9"/>
  <c r="C7" i="9"/>
  <c r="C8" i="9"/>
  <c r="C9" i="9"/>
  <c r="C10" i="9"/>
  <c r="C11" i="9"/>
  <c r="C12" i="9"/>
  <c r="C13" i="9"/>
  <c r="C14" i="9"/>
  <c r="C15" i="9"/>
  <c r="C16" i="9"/>
  <c r="C17" i="9"/>
  <c r="C18" i="9"/>
  <c r="C19" i="9"/>
  <c r="C20" i="9"/>
  <c r="C21" i="9"/>
  <c r="C22" i="9"/>
  <c r="C23" i="9"/>
  <c r="C24" i="9"/>
  <c r="C25" i="9"/>
  <c r="C6" i="9"/>
  <c r="B25" i="9"/>
  <c r="B7" i="9"/>
  <c r="B8" i="9"/>
  <c r="B9" i="9"/>
  <c r="B10" i="9"/>
  <c r="B11" i="9"/>
  <c r="B12" i="9"/>
  <c r="B13" i="9"/>
  <c r="B14" i="9"/>
  <c r="B15" i="9"/>
  <c r="B16" i="9"/>
  <c r="B17" i="9"/>
  <c r="B18" i="9"/>
  <c r="B19" i="9"/>
  <c r="B20" i="9"/>
  <c r="B21" i="9"/>
  <c r="B22" i="9"/>
  <c r="B23" i="9"/>
  <c r="B24" i="9"/>
  <c r="B6" i="9"/>
  <c r="P51" i="9" l="1"/>
  <c r="Q51" i="9"/>
  <c r="O51" i="9"/>
  <c r="AP93" i="1"/>
  <c r="AP94" i="1"/>
  <c r="AP95" i="1"/>
  <c r="AP96" i="1"/>
  <c r="AP97" i="1"/>
  <c r="AP98" i="1"/>
  <c r="AP99" i="1"/>
  <c r="AP100" i="1"/>
  <c r="AP101" i="1"/>
  <c r="AP102" i="1"/>
  <c r="AP103" i="1"/>
  <c r="AP104" i="1"/>
  <c r="AP105" i="1"/>
  <c r="AP106" i="1"/>
  <c r="AO106" i="1"/>
  <c r="AO105" i="1"/>
  <c r="AO104" i="1"/>
  <c r="AO103" i="1"/>
  <c r="AO102" i="1"/>
  <c r="AO101" i="1"/>
  <c r="AO100" i="1"/>
  <c r="AO99" i="1"/>
  <c r="AO98" i="1"/>
  <c r="AO97" i="1"/>
  <c r="AO96" i="1"/>
  <c r="AO95" i="1"/>
  <c r="AO94" i="1"/>
  <c r="AO93" i="1"/>
  <c r="AQ73" i="1"/>
  <c r="AQ74" i="1"/>
  <c r="AQ75" i="1"/>
  <c r="AQ76" i="1"/>
  <c r="AQ77" i="1"/>
  <c r="AQ78" i="1"/>
  <c r="AQ79" i="1"/>
  <c r="AQ80" i="1"/>
  <c r="AQ81" i="1"/>
  <c r="AQ82" i="1"/>
  <c r="AQ83" i="1"/>
  <c r="AQ84" i="1"/>
  <c r="AQ85" i="1"/>
  <c r="AO73" i="1"/>
  <c r="AO74" i="1"/>
  <c r="AO75" i="1"/>
  <c r="AO76" i="1"/>
  <c r="AO77" i="1"/>
  <c r="AO78" i="1"/>
  <c r="AO79" i="1"/>
  <c r="AO80" i="1"/>
  <c r="AO81" i="1"/>
  <c r="AO82" i="1"/>
  <c r="AO83" i="1"/>
  <c r="AO84" i="1"/>
  <c r="AO85" i="1"/>
  <c r="B93" i="1"/>
  <c r="B94" i="1"/>
  <c r="B95" i="1"/>
  <c r="B96" i="1"/>
  <c r="B97" i="1"/>
  <c r="B98" i="1"/>
  <c r="B99" i="1"/>
  <c r="B100" i="1"/>
  <c r="B101" i="1"/>
  <c r="B102" i="1"/>
  <c r="B103" i="1"/>
  <c r="B104" i="1"/>
  <c r="B105" i="1"/>
  <c r="B106" i="1"/>
  <c r="C93" i="1"/>
  <c r="C94" i="1"/>
  <c r="C95" i="1"/>
  <c r="C96" i="1"/>
  <c r="C97" i="1"/>
  <c r="C98" i="1"/>
  <c r="C99" i="1"/>
  <c r="C100" i="1"/>
  <c r="C101" i="1"/>
  <c r="C102" i="1"/>
  <c r="C103" i="1"/>
  <c r="C104" i="1"/>
  <c r="C105" i="1"/>
  <c r="C106" i="1"/>
  <c r="C107" i="1"/>
  <c r="C108" i="1"/>
  <c r="C109" i="1"/>
  <c r="C110" i="1"/>
  <c r="D72" i="1"/>
  <c r="D73" i="1"/>
  <c r="D74" i="1"/>
  <c r="D75" i="1"/>
  <c r="D76" i="1"/>
  <c r="D77" i="1"/>
  <c r="D78" i="1"/>
  <c r="D79" i="1"/>
  <c r="D80" i="1"/>
  <c r="D81" i="1"/>
  <c r="D82" i="1"/>
  <c r="D83" i="1"/>
  <c r="D84" i="1"/>
  <c r="D85" i="1"/>
  <c r="B73" i="1"/>
  <c r="B74" i="1"/>
  <c r="B75" i="1"/>
  <c r="B76" i="1"/>
  <c r="B77" i="1"/>
  <c r="B78" i="1"/>
  <c r="B79" i="1"/>
  <c r="B80" i="1"/>
  <c r="B81" i="1"/>
  <c r="B82" i="1"/>
  <c r="B83" i="1"/>
  <c r="B84" i="1"/>
  <c r="B85" i="1"/>
  <c r="AB173" i="1"/>
  <c r="AC172" i="1"/>
  <c r="AE171" i="1"/>
  <c r="AE172" i="1"/>
  <c r="AE173" i="1"/>
  <c r="AD171" i="1"/>
  <c r="AD172" i="1"/>
  <c r="AD173" i="1"/>
  <c r="AC171" i="1"/>
  <c r="AC173" i="1"/>
  <c r="AB171" i="1"/>
  <c r="AB172" i="1"/>
  <c r="AA171" i="1"/>
  <c r="AA172" i="1"/>
  <c r="AA173" i="1"/>
  <c r="AB170" i="1"/>
  <c r="AC170" i="1"/>
  <c r="AD170" i="1"/>
  <c r="AE170" i="1"/>
  <c r="AB169" i="1"/>
  <c r="AC169" i="1"/>
  <c r="AD169" i="1"/>
  <c r="AE169" i="1"/>
  <c r="AA170" i="1"/>
  <c r="AA169" i="1"/>
  <c r="AP209" i="1" a="1"/>
  <c r="AP209" i="1" s="1"/>
  <c r="G86" i="4"/>
  <c r="F82" i="4" a="1"/>
  <c r="F82" i="4" s="1"/>
  <c r="F78" i="4" a="1"/>
  <c r="F78" i="4" s="1"/>
  <c r="F74" i="4" a="1"/>
  <c r="F74" i="4" s="1"/>
  <c r="F70" i="4"/>
  <c r="Q29" i="1"/>
  <c r="P25" i="1" a="1"/>
  <c r="P25" i="1" s="1"/>
  <c r="P21" i="1" a="1"/>
  <c r="P21" i="1" s="1"/>
  <c r="P17" i="1" a="1"/>
  <c r="P17" i="1" s="1"/>
  <c r="P14" i="1"/>
  <c r="W11" i="1"/>
  <c r="X11" i="1"/>
  <c r="U12" i="1"/>
  <c r="V12" i="1"/>
  <c r="W12" i="1"/>
  <c r="X12" i="1"/>
  <c r="V13" i="1"/>
  <c r="W13" i="1"/>
  <c r="X13" i="1"/>
  <c r="T73" i="1"/>
  <c r="D9" i="9" s="1"/>
  <c r="U14" i="1"/>
  <c r="U73" i="1" s="1"/>
  <c r="E9" i="9" s="1"/>
  <c r="V14" i="1"/>
  <c r="V73" i="1" s="1"/>
  <c r="F9" i="9" s="1"/>
  <c r="W14" i="1"/>
  <c r="W73" i="1" s="1"/>
  <c r="G9" i="9" s="1"/>
  <c r="X14" i="1"/>
  <c r="X73" i="1" s="1"/>
  <c r="H9" i="9" s="1"/>
  <c r="T74" i="1"/>
  <c r="D10" i="9" s="1"/>
  <c r="U15" i="1"/>
  <c r="U74" i="1" s="1"/>
  <c r="E10" i="9" s="1"/>
  <c r="V15" i="1"/>
  <c r="V74" i="1" s="1"/>
  <c r="F10" i="9" s="1"/>
  <c r="W15" i="1"/>
  <c r="W74" i="1" s="1"/>
  <c r="G10" i="9" s="1"/>
  <c r="X15" i="1"/>
  <c r="X74" i="1" s="1"/>
  <c r="H10" i="9" s="1"/>
  <c r="AS34" i="1"/>
  <c r="AA34" i="1" s="1"/>
  <c r="AA93" i="1" s="1"/>
  <c r="AS35" i="1"/>
  <c r="AA35" i="1" s="1"/>
  <c r="AA94" i="1" s="1"/>
  <c r="AS36" i="1"/>
  <c r="AA36" i="1" s="1"/>
  <c r="AA95" i="1" s="1"/>
  <c r="AS37" i="1"/>
  <c r="AE37" i="1" s="1"/>
  <c r="AE96" i="1" s="1"/>
  <c r="M35" i="9" s="1"/>
  <c r="AS38" i="1"/>
  <c r="AB38" i="1" s="1"/>
  <c r="AB97" i="1" s="1"/>
  <c r="AS39" i="1"/>
  <c r="AD39" i="1" s="1"/>
  <c r="AD98" i="1" s="1"/>
  <c r="AS40" i="1"/>
  <c r="AD40" i="1" s="1"/>
  <c r="AD99" i="1" s="1"/>
  <c r="AS41" i="1"/>
  <c r="AD41" i="1" s="1"/>
  <c r="AD100" i="1" s="1"/>
  <c r="AS42" i="1"/>
  <c r="AD42" i="1" s="1"/>
  <c r="AD101" i="1" s="1"/>
  <c r="AS43" i="1"/>
  <c r="AE43" i="1" s="1"/>
  <c r="AE102" i="1" s="1"/>
  <c r="AS44" i="1"/>
  <c r="AE44" i="1" s="1"/>
  <c r="AS45" i="1"/>
  <c r="AA45" i="1" s="1"/>
  <c r="AA104" i="1" s="1"/>
  <c r="F34" i="1"/>
  <c r="X34" i="1" s="1"/>
  <c r="X93" i="1" s="1"/>
  <c r="H32" i="9" s="1"/>
  <c r="F35" i="1"/>
  <c r="F36" i="1"/>
  <c r="X36" i="1" s="1"/>
  <c r="X95" i="1" s="1"/>
  <c r="H34" i="9" s="1"/>
  <c r="F37" i="1"/>
  <c r="W37" i="1" s="1"/>
  <c r="W96" i="1" s="1"/>
  <c r="G35" i="9" s="1"/>
  <c r="F38" i="1"/>
  <c r="T38" i="1" s="1"/>
  <c r="F39" i="1"/>
  <c r="U39" i="1" s="1"/>
  <c r="U98" i="1" s="1"/>
  <c r="E37" i="9" s="1"/>
  <c r="F40" i="1"/>
  <c r="W40" i="1" s="1"/>
  <c r="W99" i="1" s="1"/>
  <c r="G38" i="9" s="1"/>
  <c r="F41" i="1"/>
  <c r="W41" i="1" s="1"/>
  <c r="W100" i="1" s="1"/>
  <c r="G39" i="9" s="1"/>
  <c r="F42" i="1"/>
  <c r="X42" i="1" s="1"/>
  <c r="X101" i="1" s="1"/>
  <c r="H40" i="9" s="1"/>
  <c r="F43" i="1"/>
  <c r="W43" i="1" s="1"/>
  <c r="F44" i="1"/>
  <c r="W44" i="1" s="1"/>
  <c r="F45" i="1"/>
  <c r="W45" i="1" s="1"/>
  <c r="AE14" i="1"/>
  <c r="AE73" i="1" s="1"/>
  <c r="AE15" i="1"/>
  <c r="AE74" i="1" s="1"/>
  <c r="Q10" i="9" s="1"/>
  <c r="AE16" i="1"/>
  <c r="AE75" i="1" s="1"/>
  <c r="Q11" i="9" s="1"/>
  <c r="Q12" i="9"/>
  <c r="AE17" i="1"/>
  <c r="AE76" i="1" s="1"/>
  <c r="Q13" i="9" s="1"/>
  <c r="AE18" i="1"/>
  <c r="AE77" i="1" s="1"/>
  <c r="Q14" i="9" s="1"/>
  <c r="AE19" i="1"/>
  <c r="AE78" i="1" s="1"/>
  <c r="Q15" i="9" s="1"/>
  <c r="AE20" i="1"/>
  <c r="AE21" i="1"/>
  <c r="AE22" i="1"/>
  <c r="AE23" i="1"/>
  <c r="AE24" i="1"/>
  <c r="AE25" i="1"/>
  <c r="AE26" i="1"/>
  <c r="AD14" i="1"/>
  <c r="AD73" i="1" s="1"/>
  <c r="AD15" i="1"/>
  <c r="AD74" i="1" s="1"/>
  <c r="P10" i="9" s="1"/>
  <c r="AD16" i="1"/>
  <c r="AD75" i="1" s="1"/>
  <c r="P11" i="9" s="1"/>
  <c r="P12" i="9"/>
  <c r="AD17" i="1"/>
  <c r="AD76" i="1" s="1"/>
  <c r="P13" i="9" s="1"/>
  <c r="AD18" i="1"/>
  <c r="AD77" i="1" s="1"/>
  <c r="P14" i="9" s="1"/>
  <c r="AD19" i="1"/>
  <c r="AD78" i="1" s="1"/>
  <c r="P15" i="9" s="1"/>
  <c r="AD20" i="1"/>
  <c r="AD21" i="1"/>
  <c r="AD22" i="1"/>
  <c r="AD23" i="1"/>
  <c r="AD24" i="1"/>
  <c r="AD25" i="1"/>
  <c r="AD26" i="1"/>
  <c r="AC14" i="1"/>
  <c r="AC15" i="1"/>
  <c r="AC74" i="1" s="1"/>
  <c r="O10" i="9" s="1"/>
  <c r="AC16" i="1"/>
  <c r="AC75" i="1" s="1"/>
  <c r="O11" i="9" s="1"/>
  <c r="O12" i="9"/>
  <c r="AC17" i="1"/>
  <c r="AC76" i="1" s="1"/>
  <c r="O13" i="9" s="1"/>
  <c r="AC18" i="1"/>
  <c r="AC77" i="1" s="1"/>
  <c r="O14" i="9" s="1"/>
  <c r="AC19" i="1"/>
  <c r="AC78" i="1" s="1"/>
  <c r="O15" i="9" s="1"/>
  <c r="AC20" i="1"/>
  <c r="AC21" i="1"/>
  <c r="AC22" i="1"/>
  <c r="AC23" i="1"/>
  <c r="AC24" i="1"/>
  <c r="AC25" i="1"/>
  <c r="AC26" i="1"/>
  <c r="AB14" i="1"/>
  <c r="AB73" i="1" s="1"/>
  <c r="AB15" i="1"/>
  <c r="AB74" i="1" s="1"/>
  <c r="N10" i="9" s="1"/>
  <c r="AB16" i="1"/>
  <c r="AB75" i="1" s="1"/>
  <c r="N11" i="9" s="1"/>
  <c r="AB17" i="1"/>
  <c r="AB76" i="1" s="1"/>
  <c r="N13" i="9" s="1"/>
  <c r="AB18" i="1"/>
  <c r="AB77" i="1" s="1"/>
  <c r="N14" i="9" s="1"/>
  <c r="AB19" i="1"/>
  <c r="AB78" i="1" s="1"/>
  <c r="N15" i="9" s="1"/>
  <c r="AB20" i="1"/>
  <c r="AB21" i="1"/>
  <c r="AB22" i="1"/>
  <c r="AB23" i="1"/>
  <c r="AB24" i="1"/>
  <c r="AB25" i="1"/>
  <c r="AB26" i="1"/>
  <c r="AA14" i="1"/>
  <c r="AA73" i="1" s="1"/>
  <c r="AA15" i="1"/>
  <c r="AA74" i="1" s="1"/>
  <c r="AA16" i="1"/>
  <c r="AA75" i="1" s="1"/>
  <c r="M12" i="9"/>
  <c r="AA17" i="1"/>
  <c r="AA76" i="1" s="1"/>
  <c r="AA18" i="1"/>
  <c r="AA77" i="1" s="1"/>
  <c r="AA19" i="1"/>
  <c r="AA78" i="1" s="1"/>
  <c r="AA20" i="1"/>
  <c r="AA21" i="1"/>
  <c r="AA22" i="1"/>
  <c r="AA23" i="1"/>
  <c r="AA24" i="1"/>
  <c r="AA25" i="1"/>
  <c r="AA26" i="1"/>
  <c r="X16" i="1"/>
  <c r="X75" i="1" s="1"/>
  <c r="H11" i="9" s="1"/>
  <c r="H12" i="9"/>
  <c r="X17" i="1"/>
  <c r="X76" i="1" s="1"/>
  <c r="H13" i="9" s="1"/>
  <c r="X18" i="1"/>
  <c r="X77" i="1" s="1"/>
  <c r="H14" i="9" s="1"/>
  <c r="X19" i="1"/>
  <c r="X78" i="1" s="1"/>
  <c r="H15" i="9" s="1"/>
  <c r="X20" i="1"/>
  <c r="X21" i="1"/>
  <c r="X22" i="1"/>
  <c r="X23" i="1"/>
  <c r="X24" i="1"/>
  <c r="X25" i="1"/>
  <c r="X26" i="1"/>
  <c r="X27" i="1"/>
  <c r="W16" i="1"/>
  <c r="W75" i="1" s="1"/>
  <c r="G11" i="9" s="1"/>
  <c r="G12" i="9"/>
  <c r="W17" i="1"/>
  <c r="W76" i="1" s="1"/>
  <c r="G13" i="9" s="1"/>
  <c r="W18" i="1"/>
  <c r="W77" i="1" s="1"/>
  <c r="G14" i="9" s="1"/>
  <c r="W19" i="1"/>
  <c r="W78" i="1" s="1"/>
  <c r="G15" i="9" s="1"/>
  <c r="W20" i="1"/>
  <c r="W21" i="1"/>
  <c r="W22" i="1"/>
  <c r="W23" i="1"/>
  <c r="W24" i="1"/>
  <c r="W25" i="1"/>
  <c r="W26" i="1"/>
  <c r="W27" i="1"/>
  <c r="V16" i="1"/>
  <c r="V75" i="1" s="1"/>
  <c r="F11" i="9" s="1"/>
  <c r="F12" i="9"/>
  <c r="V17" i="1"/>
  <c r="V76" i="1" s="1"/>
  <c r="F13" i="9" s="1"/>
  <c r="V18" i="1"/>
  <c r="V77" i="1" s="1"/>
  <c r="F14" i="9" s="1"/>
  <c r="V19" i="1"/>
  <c r="V78" i="1" s="1"/>
  <c r="F15" i="9" s="1"/>
  <c r="V20" i="1"/>
  <c r="V21" i="1"/>
  <c r="V22" i="1"/>
  <c r="V23" i="1"/>
  <c r="V24" i="1"/>
  <c r="V25" i="1"/>
  <c r="V26" i="1"/>
  <c r="V27" i="1"/>
  <c r="U16" i="1"/>
  <c r="U75" i="1" s="1"/>
  <c r="E11" i="9" s="1"/>
  <c r="E12" i="9"/>
  <c r="U17" i="1"/>
  <c r="U76" i="1" s="1"/>
  <c r="E13" i="9" s="1"/>
  <c r="U18" i="1"/>
  <c r="U77" i="1" s="1"/>
  <c r="E14" i="9" s="1"/>
  <c r="U19" i="1"/>
  <c r="U78" i="1" s="1"/>
  <c r="E15" i="9" s="1"/>
  <c r="U20" i="1"/>
  <c r="U21" i="1"/>
  <c r="U22" i="1"/>
  <c r="U23" i="1"/>
  <c r="U24" i="1"/>
  <c r="U25" i="1"/>
  <c r="U26" i="1"/>
  <c r="U27" i="1"/>
  <c r="T75" i="1"/>
  <c r="D11" i="9" s="1"/>
  <c r="D12" i="9"/>
  <c r="T76" i="1"/>
  <c r="D13" i="9" s="1"/>
  <c r="T77" i="1"/>
  <c r="D14" i="9" s="1"/>
  <c r="T19" i="1"/>
  <c r="T78" i="1" s="1"/>
  <c r="D15" i="9" s="1"/>
  <c r="T20" i="1"/>
  <c r="T21" i="1"/>
  <c r="T22" i="1"/>
  <c r="T23" i="1"/>
  <c r="T24" i="1"/>
  <c r="Y24" i="1" s="1"/>
  <c r="T25" i="1"/>
  <c r="T26" i="1"/>
  <c r="Y26" i="1" s="1"/>
  <c r="T27" i="1"/>
  <c r="Y25" i="1" l="1"/>
  <c r="Y22" i="1"/>
  <c r="Y21" i="1"/>
  <c r="Y23" i="1"/>
  <c r="Y20" i="1"/>
  <c r="Y27" i="1"/>
  <c r="T97" i="1"/>
  <c r="I14" i="9"/>
  <c r="X35" i="1"/>
  <c r="X94" i="1" s="1"/>
  <c r="H33" i="9" s="1"/>
  <c r="T35" i="1"/>
  <c r="T94" i="1" s="1"/>
  <c r="D33" i="9" s="1"/>
  <c r="I15" i="9"/>
  <c r="I9" i="9"/>
  <c r="I12" i="9"/>
  <c r="I10" i="9"/>
  <c r="I11" i="9"/>
  <c r="I13" i="9"/>
  <c r="W83" i="1"/>
  <c r="G20" i="9" s="1"/>
  <c r="AA84" i="1"/>
  <c r="M21" i="9" s="1"/>
  <c r="AB82" i="1"/>
  <c r="N19" i="9" s="1"/>
  <c r="AC80" i="1"/>
  <c r="O17" i="9" s="1"/>
  <c r="AE84" i="1"/>
  <c r="Q21" i="9" s="1"/>
  <c r="U84" i="1"/>
  <c r="E21" i="9" s="1"/>
  <c r="U83" i="1"/>
  <c r="E20" i="9" s="1"/>
  <c r="V80" i="1"/>
  <c r="F17" i="9" s="1"/>
  <c r="W85" i="1"/>
  <c r="G22" i="9" s="1"/>
  <c r="X82" i="1"/>
  <c r="H19" i="9" s="1"/>
  <c r="AB84" i="1"/>
  <c r="N21" i="9" s="1"/>
  <c r="AC82" i="1"/>
  <c r="O19" i="9" s="1"/>
  <c r="AD80" i="1"/>
  <c r="P17" i="9" s="1"/>
  <c r="W103" i="1"/>
  <c r="G42" i="9" s="1"/>
  <c r="U82" i="1"/>
  <c r="E19" i="9" s="1"/>
  <c r="V79" i="1"/>
  <c r="W84" i="1"/>
  <c r="G21" i="9" s="1"/>
  <c r="X81" i="1"/>
  <c r="H18" i="9" s="1"/>
  <c r="W102" i="1"/>
  <c r="G41" i="9" s="1"/>
  <c r="AE85" i="1"/>
  <c r="Q22" i="9" s="1"/>
  <c r="AD79" i="1"/>
  <c r="P16" i="9" s="1"/>
  <c r="T83" i="1"/>
  <c r="D20" i="9" s="1"/>
  <c r="AC79" i="1"/>
  <c r="O16" i="9" s="1"/>
  <c r="W81" i="1"/>
  <c r="G18" i="9" s="1"/>
  <c r="AA82" i="1"/>
  <c r="AB80" i="1"/>
  <c r="N17" i="9" s="1"/>
  <c r="AD84" i="1"/>
  <c r="P21" i="9" s="1"/>
  <c r="AE82" i="1"/>
  <c r="Q19" i="9" s="1"/>
  <c r="AE103" i="1"/>
  <c r="M42" i="9" s="1"/>
  <c r="AC81" i="1"/>
  <c r="O18" i="9" s="1"/>
  <c r="T85" i="1"/>
  <c r="D22" i="9" s="1"/>
  <c r="T84" i="1"/>
  <c r="D21" i="9" s="1"/>
  <c r="U81" i="1"/>
  <c r="E18" i="9" s="1"/>
  <c r="W82" i="1"/>
  <c r="G19" i="9" s="1"/>
  <c r="AA83" i="1"/>
  <c r="AB81" i="1"/>
  <c r="N18" i="9" s="1"/>
  <c r="AD85" i="1"/>
  <c r="P22" i="9" s="1"/>
  <c r="AE83" i="1"/>
  <c r="Q20" i="9" s="1"/>
  <c r="T82" i="1"/>
  <c r="D19" i="9" s="1"/>
  <c r="U79" i="1"/>
  <c r="V84" i="1"/>
  <c r="F21" i="9" s="1"/>
  <c r="T81" i="1"/>
  <c r="D18" i="9" s="1"/>
  <c r="V83" i="1"/>
  <c r="F20" i="9" s="1"/>
  <c r="W80" i="1"/>
  <c r="G17" i="9" s="1"/>
  <c r="X85" i="1"/>
  <c r="H22" i="9" s="1"/>
  <c r="AB79" i="1"/>
  <c r="N16" i="9" s="1"/>
  <c r="AC85" i="1"/>
  <c r="O22" i="9" s="1"/>
  <c r="AD83" i="1"/>
  <c r="P20" i="9" s="1"/>
  <c r="AE81" i="1"/>
  <c r="Q18" i="9" s="1"/>
  <c r="M41" i="9"/>
  <c r="AA85" i="1"/>
  <c r="M22" i="9" s="1"/>
  <c r="AB83" i="1"/>
  <c r="N20" i="9" s="1"/>
  <c r="U80" i="1"/>
  <c r="V85" i="1"/>
  <c r="F22" i="9" s="1"/>
  <c r="X79" i="1"/>
  <c r="T80" i="1"/>
  <c r="D17" i="9" s="1"/>
  <c r="U85" i="1"/>
  <c r="E22" i="9" s="1"/>
  <c r="V82" i="1"/>
  <c r="F19" i="9" s="1"/>
  <c r="W79" i="1"/>
  <c r="X84" i="1"/>
  <c r="H21" i="9" s="1"/>
  <c r="AA80" i="1"/>
  <c r="M17" i="9" s="1"/>
  <c r="AC84" i="1"/>
  <c r="O21" i="9" s="1"/>
  <c r="AD82" i="1"/>
  <c r="P19" i="9" s="1"/>
  <c r="AE80" i="1"/>
  <c r="Q17" i="9" s="1"/>
  <c r="AA81" i="1"/>
  <c r="M18" i="9" s="1"/>
  <c r="X80" i="1"/>
  <c r="H17" i="9" s="1"/>
  <c r="T79" i="1"/>
  <c r="V81" i="1"/>
  <c r="F18" i="9" s="1"/>
  <c r="X83" i="1"/>
  <c r="H20" i="9" s="1"/>
  <c r="AA79" i="1"/>
  <c r="M16" i="9" s="1"/>
  <c r="AB85" i="1"/>
  <c r="N22" i="9" s="1"/>
  <c r="AC83" i="1"/>
  <c r="O20" i="9" s="1"/>
  <c r="AD81" i="1"/>
  <c r="P18" i="9" s="1"/>
  <c r="AE79" i="1"/>
  <c r="Q16" i="9" s="1"/>
  <c r="W104" i="1"/>
  <c r="G43" i="9" s="1"/>
  <c r="AF75" i="1"/>
  <c r="M11" i="9"/>
  <c r="R11" i="9" s="1"/>
  <c r="AF74" i="1"/>
  <c r="M10" i="9"/>
  <c r="R10" i="9" s="1"/>
  <c r="AF76" i="1"/>
  <c r="M13" i="9"/>
  <c r="R13" i="9" s="1"/>
  <c r="N12" i="9"/>
  <c r="R12" i="9" s="1"/>
  <c r="AF77" i="1"/>
  <c r="M14" i="9"/>
  <c r="R14" i="9" s="1"/>
  <c r="AF78" i="1"/>
  <c r="M15" i="9"/>
  <c r="R15" i="9" s="1"/>
  <c r="Q9" i="9"/>
  <c r="M9" i="9"/>
  <c r="P9" i="9"/>
  <c r="AC73" i="1"/>
  <c r="O9" i="9" s="1"/>
  <c r="N9" i="9"/>
  <c r="AA41" i="1"/>
  <c r="AA100" i="1" s="1"/>
  <c r="AA40" i="1"/>
  <c r="AA99" i="1" s="1"/>
  <c r="AC41" i="1"/>
  <c r="AC100" i="1" s="1"/>
  <c r="AF19" i="1"/>
  <c r="AC40" i="1"/>
  <c r="AC99" i="1" s="1"/>
  <c r="U38" i="1"/>
  <c r="U97" i="1" s="1"/>
  <c r="E36" i="9" s="1"/>
  <c r="V38" i="1"/>
  <c r="V97" i="1" s="1"/>
  <c r="F36" i="9" s="1"/>
  <c r="AB36" i="1"/>
  <c r="AB95" i="1" s="1"/>
  <c r="AE41" i="1"/>
  <c r="AE100" i="1" s="1"/>
  <c r="M39" i="9" s="1"/>
  <c r="W39" i="1"/>
  <c r="W98" i="1" s="1"/>
  <c r="G37" i="9" s="1"/>
  <c r="AE40" i="1"/>
  <c r="AE99" i="1" s="1"/>
  <c r="M38" i="9" s="1"/>
  <c r="AA37" i="1"/>
  <c r="AA96" i="1" s="1"/>
  <c r="U34" i="1"/>
  <c r="U93" i="1" s="1"/>
  <c r="E32" i="9" s="1"/>
  <c r="X37" i="1"/>
  <c r="X96" i="1" s="1"/>
  <c r="H35" i="9" s="1"/>
  <c r="AE38" i="1"/>
  <c r="AE97" i="1" s="1"/>
  <c r="M36" i="9" s="1"/>
  <c r="AC38" i="1"/>
  <c r="AC97" i="1" s="1"/>
  <c r="V39" i="1"/>
  <c r="V98" i="1" s="1"/>
  <c r="F37" i="9" s="1"/>
  <c r="AA38" i="1"/>
  <c r="AA97" i="1" s="1"/>
  <c r="AC37" i="1"/>
  <c r="AC96" i="1" s="1"/>
  <c r="AE39" i="1"/>
  <c r="AE98" i="1" s="1"/>
  <c r="M37" i="9" s="1"/>
  <c r="U37" i="1"/>
  <c r="U96" i="1" s="1"/>
  <c r="E35" i="9" s="1"/>
  <c r="T41" i="1"/>
  <c r="AD38" i="1"/>
  <c r="AD97" i="1" s="1"/>
  <c r="T36" i="1"/>
  <c r="X41" i="1"/>
  <c r="X100" i="1" s="1"/>
  <c r="H39" i="9" s="1"/>
  <c r="AB37" i="1"/>
  <c r="AB96" i="1" s="1"/>
  <c r="T37" i="1"/>
  <c r="AD37" i="1"/>
  <c r="AD96" i="1" s="1"/>
  <c r="U42" i="1"/>
  <c r="U101" i="1" s="1"/>
  <c r="E40" i="9" s="1"/>
  <c r="X40" i="1"/>
  <c r="X99" i="1" s="1"/>
  <c r="H38" i="9" s="1"/>
  <c r="AB42" i="1"/>
  <c r="AB101" i="1" s="1"/>
  <c r="U36" i="1"/>
  <c r="U95" i="1" s="1"/>
  <c r="E34" i="9" s="1"/>
  <c r="V37" i="1"/>
  <c r="V96" i="1" s="1"/>
  <c r="F35" i="9" s="1"/>
  <c r="W38" i="1"/>
  <c r="W97" i="1" s="1"/>
  <c r="G36" i="9" s="1"/>
  <c r="X39" i="1"/>
  <c r="X98" i="1" s="1"/>
  <c r="H37" i="9" s="1"/>
  <c r="AC39" i="1"/>
  <c r="AC98" i="1" s="1"/>
  <c r="T42" i="1"/>
  <c r="T34" i="1"/>
  <c r="U35" i="1"/>
  <c r="V36" i="1"/>
  <c r="V95" i="1" s="1"/>
  <c r="F34" i="9" s="1"/>
  <c r="X38" i="1"/>
  <c r="X97" i="1" s="1"/>
  <c r="H36" i="9" s="1"/>
  <c r="AA39" i="1"/>
  <c r="AA98" i="1" s="1"/>
  <c r="AD36" i="1"/>
  <c r="AD95" i="1" s="1"/>
  <c r="AE36" i="1"/>
  <c r="AE95" i="1" s="1"/>
  <c r="M34" i="9" s="1"/>
  <c r="V35" i="1"/>
  <c r="V94" i="1" s="1"/>
  <c r="F33" i="9" s="1"/>
  <c r="W36" i="1"/>
  <c r="W95" i="1" s="1"/>
  <c r="G34" i="9" s="1"/>
  <c r="AD35" i="1"/>
  <c r="AD94" i="1" s="1"/>
  <c r="AE35" i="1"/>
  <c r="AE94" i="1" s="1"/>
  <c r="M33" i="9" s="1"/>
  <c r="T40" i="1"/>
  <c r="U41" i="1"/>
  <c r="U100" i="1" s="1"/>
  <c r="E39" i="9" s="1"/>
  <c r="V42" i="1"/>
  <c r="V101" i="1" s="1"/>
  <c r="F40" i="9" s="1"/>
  <c r="V34" i="1"/>
  <c r="V93" i="1" s="1"/>
  <c r="F32" i="9" s="1"/>
  <c r="W35" i="1"/>
  <c r="W94" i="1" s="1"/>
  <c r="G33" i="9" s="1"/>
  <c r="AB35" i="1"/>
  <c r="AB94" i="1" s="1"/>
  <c r="AC36" i="1"/>
  <c r="AC95" i="1" s="1"/>
  <c r="AD34" i="1"/>
  <c r="AD93" i="1" s="1"/>
  <c r="AE34" i="1"/>
  <c r="AE93" i="1" s="1"/>
  <c r="M32" i="9" s="1"/>
  <c r="T39" i="1"/>
  <c r="U40" i="1"/>
  <c r="U99" i="1" s="1"/>
  <c r="E38" i="9" s="1"/>
  <c r="V41" i="1"/>
  <c r="V100" i="1" s="1"/>
  <c r="F39" i="9" s="1"/>
  <c r="W42" i="1"/>
  <c r="W101" i="1" s="1"/>
  <c r="G40" i="9" s="1"/>
  <c r="W34" i="1"/>
  <c r="W93" i="1" s="1"/>
  <c r="G32" i="9" s="1"/>
  <c r="AB34" i="1"/>
  <c r="AB93" i="1" s="1"/>
  <c r="AC35" i="1"/>
  <c r="AC94" i="1" s="1"/>
  <c r="AE42" i="1"/>
  <c r="AE101" i="1" s="1"/>
  <c r="M40" i="9" s="1"/>
  <c r="V40" i="1"/>
  <c r="V99" i="1" s="1"/>
  <c r="F38" i="9" s="1"/>
  <c r="AC42" i="1"/>
  <c r="AC101" i="1" s="1"/>
  <c r="AC34" i="1"/>
  <c r="AC93" i="1" s="1"/>
  <c r="AA42" i="1"/>
  <c r="AA101" i="1" s="1"/>
  <c r="AA43" i="1"/>
  <c r="AA102" i="1" s="1"/>
  <c r="AC45" i="1"/>
  <c r="AC104" i="1" s="1"/>
  <c r="AD43" i="1"/>
  <c r="AD102" i="1" s="1"/>
  <c r="V45" i="1"/>
  <c r="AB44" i="1"/>
  <c r="AB103" i="1" s="1"/>
  <c r="AB43" i="1"/>
  <c r="AB102" i="1" s="1"/>
  <c r="AC44" i="1"/>
  <c r="AC103" i="1" s="1"/>
  <c r="X45" i="1"/>
  <c r="T45" i="1"/>
  <c r="AD45" i="1"/>
  <c r="AD104" i="1" s="1"/>
  <c r="AC43" i="1"/>
  <c r="AC102" i="1" s="1"/>
  <c r="T43" i="1"/>
  <c r="Y43" i="1" s="1"/>
  <c r="AA44" i="1"/>
  <c r="AA103" i="1" s="1"/>
  <c r="AD44" i="1"/>
  <c r="AD103" i="1" s="1"/>
  <c r="V44" i="1"/>
  <c r="V43" i="1"/>
  <c r="X43" i="1"/>
  <c r="AE45" i="1"/>
  <c r="T44" i="1"/>
  <c r="Y44" i="1" s="1"/>
  <c r="X44" i="1"/>
  <c r="U45" i="1"/>
  <c r="AB45" i="1"/>
  <c r="AB104" i="1" s="1"/>
  <c r="U43" i="1"/>
  <c r="U44" i="1"/>
  <c r="AB41" i="1"/>
  <c r="AB100" i="1" s="1"/>
  <c r="AB40" i="1"/>
  <c r="AB99" i="1" s="1"/>
  <c r="AB39" i="1"/>
  <c r="AB98" i="1" s="1"/>
  <c r="AF18" i="1"/>
  <c r="AF17" i="1"/>
  <c r="AF16" i="1"/>
  <c r="AF14" i="1"/>
  <c r="AF15" i="1"/>
  <c r="AF20" i="1"/>
  <c r="AF26" i="1"/>
  <c r="AF25" i="1"/>
  <c r="AF24" i="1"/>
  <c r="AF23" i="1"/>
  <c r="AF22" i="1"/>
  <c r="AF21" i="1"/>
  <c r="Y45" i="1" l="1"/>
  <c r="T95" i="1"/>
  <c r="Y36" i="1"/>
  <c r="U94" i="1"/>
  <c r="Y35" i="1"/>
  <c r="T100" i="1"/>
  <c r="Y41" i="1"/>
  <c r="T98" i="1"/>
  <c r="Y39" i="1"/>
  <c r="T101" i="1"/>
  <c r="Y42" i="1"/>
  <c r="Y38" i="1"/>
  <c r="T99" i="1"/>
  <c r="Y40" i="1"/>
  <c r="T93" i="1"/>
  <c r="Y34" i="1"/>
  <c r="T96" i="1"/>
  <c r="Y37" i="1"/>
  <c r="D36" i="9"/>
  <c r="I36" i="9" s="1"/>
  <c r="Y97" i="1"/>
  <c r="E16" i="9"/>
  <c r="H16" i="9"/>
  <c r="D16" i="9"/>
  <c r="G16" i="9"/>
  <c r="AF94" i="1"/>
  <c r="R17" i="9"/>
  <c r="R22" i="9"/>
  <c r="R21" i="9"/>
  <c r="R9" i="9"/>
  <c r="R18" i="9"/>
  <c r="I21" i="9"/>
  <c r="I19" i="9"/>
  <c r="I22" i="9"/>
  <c r="R16" i="9"/>
  <c r="I18" i="9"/>
  <c r="I20" i="9"/>
  <c r="Y80" i="1"/>
  <c r="Y79" i="1"/>
  <c r="AF83" i="1"/>
  <c r="Y83" i="1"/>
  <c r="AF82" i="1"/>
  <c r="Y84" i="1"/>
  <c r="F16" i="9"/>
  <c r="M19" i="9"/>
  <c r="R19" i="9" s="1"/>
  <c r="Y82" i="1"/>
  <c r="E17" i="9"/>
  <c r="I17" i="9" s="1"/>
  <c r="AF81" i="1"/>
  <c r="AF80" i="1"/>
  <c r="AF97" i="1"/>
  <c r="AF93" i="1"/>
  <c r="AF95" i="1"/>
  <c r="AF84" i="1"/>
  <c r="M20" i="9"/>
  <c r="R20" i="9" s="1"/>
  <c r="U103" i="1"/>
  <c r="E42" i="9" s="1"/>
  <c r="V102" i="1"/>
  <c r="F41" i="9" s="1"/>
  <c r="AF98" i="1"/>
  <c r="V103" i="1"/>
  <c r="AF96" i="1"/>
  <c r="Y85" i="1"/>
  <c r="Y81" i="1"/>
  <c r="U102" i="1"/>
  <c r="E41" i="9" s="1"/>
  <c r="V104" i="1"/>
  <c r="F43" i="9" s="1"/>
  <c r="U104" i="1"/>
  <c r="E43" i="9" s="1"/>
  <c r="AF99" i="1"/>
  <c r="X103" i="1"/>
  <c r="H42" i="9" s="1"/>
  <c r="T104" i="1"/>
  <c r="D43" i="9" s="1"/>
  <c r="AF100" i="1"/>
  <c r="AF79" i="1"/>
  <c r="T103" i="1"/>
  <c r="D42" i="9"/>
  <c r="X104" i="1"/>
  <c r="H43" i="9" s="1"/>
  <c r="AF101" i="1"/>
  <c r="AF85" i="1"/>
  <c r="T102" i="1"/>
  <c r="D41" i="9" s="1"/>
  <c r="AE104" i="1"/>
  <c r="AF104" i="1" s="1"/>
  <c r="X102" i="1"/>
  <c r="H41" i="9" s="1"/>
  <c r="AF73" i="1"/>
  <c r="AF103" i="1"/>
  <c r="AF102" i="1"/>
  <c r="Z19" i="1"/>
  <c r="Z15" i="1"/>
  <c r="AF38" i="1"/>
  <c r="N36" i="9" s="1"/>
  <c r="R36" i="9" s="1"/>
  <c r="AF40" i="1"/>
  <c r="AF41" i="1"/>
  <c r="AF36" i="1"/>
  <c r="N34" i="9" s="1"/>
  <c r="R34" i="9" s="1"/>
  <c r="AF37" i="1"/>
  <c r="Z14" i="1"/>
  <c r="AF34" i="1"/>
  <c r="AF43" i="1"/>
  <c r="AF35" i="1"/>
  <c r="N33" i="9" s="1"/>
  <c r="R33" i="9" s="1"/>
  <c r="AF42" i="1"/>
  <c r="AF39" i="1"/>
  <c r="AF45" i="1"/>
  <c r="AF44" i="1"/>
  <c r="Z18" i="1"/>
  <c r="Z17" i="1"/>
  <c r="Z21" i="1"/>
  <c r="Z23" i="1"/>
  <c r="Z25" i="1"/>
  <c r="Z22" i="1"/>
  <c r="Z20" i="1"/>
  <c r="Z24" i="1"/>
  <c r="Z16" i="1"/>
  <c r="Z26" i="1"/>
  <c r="D37" i="9" l="1"/>
  <c r="I37" i="9" s="1"/>
  <c r="Y98" i="1"/>
  <c r="D39" i="9"/>
  <c r="I39" i="9" s="1"/>
  <c r="Y100" i="1"/>
  <c r="D35" i="9"/>
  <c r="I35" i="9" s="1"/>
  <c r="Y96" i="1"/>
  <c r="D38" i="9"/>
  <c r="I38" i="9" s="1"/>
  <c r="Y99" i="1"/>
  <c r="D32" i="9"/>
  <c r="I32" i="9" s="1"/>
  <c r="Y93" i="1"/>
  <c r="E33" i="9"/>
  <c r="I33" i="9" s="1"/>
  <c r="Y94" i="1"/>
  <c r="D40" i="9"/>
  <c r="I40" i="9" s="1"/>
  <c r="Y101" i="1"/>
  <c r="D34" i="9"/>
  <c r="I34" i="9" s="1"/>
  <c r="Y95" i="1"/>
  <c r="I16" i="9"/>
  <c r="N43" i="9"/>
  <c r="N39" i="9"/>
  <c r="R39" i="9" s="1"/>
  <c r="M43" i="9"/>
  <c r="R43" i="9" s="1"/>
  <c r="N42" i="9"/>
  <c r="R42" i="9" s="1"/>
  <c r="Y103" i="1"/>
  <c r="N32" i="9"/>
  <c r="R32" i="9" s="1"/>
  <c r="I43" i="9"/>
  <c r="I41" i="9"/>
  <c r="Y104" i="1"/>
  <c r="F42" i="9"/>
  <c r="I42" i="9" s="1"/>
  <c r="N40" i="9"/>
  <c r="R40" i="9" s="1"/>
  <c r="N37" i="9"/>
  <c r="R37" i="9" s="1"/>
  <c r="N38" i="9"/>
  <c r="R38" i="9" s="1"/>
  <c r="Y102" i="1"/>
  <c r="N41" i="9"/>
  <c r="R41" i="9" s="1"/>
  <c r="N35" i="9"/>
  <c r="R35" i="9" s="1"/>
  <c r="Z45" i="1"/>
  <c r="Z44" i="1"/>
  <c r="Z40" i="1"/>
  <c r="Z35" i="1"/>
  <c r="Z37" i="1"/>
  <c r="Z36" i="1"/>
  <c r="Z34" i="1"/>
  <c r="Z39" i="1"/>
  <c r="Z41" i="1"/>
  <c r="Z38" i="1"/>
  <c r="Z43" i="1"/>
  <c r="Z42" i="1"/>
  <c r="X166" i="1"/>
  <c r="W166" i="1"/>
  <c r="V166" i="1"/>
  <c r="U166" i="1"/>
  <c r="T166" i="1"/>
  <c r="X157" i="1"/>
  <c r="W157" i="1"/>
  <c r="V157" i="1"/>
  <c r="U157" i="1"/>
  <c r="T157" i="1"/>
  <c r="AC205" i="1" l="1"/>
  <c r="AB205" i="1"/>
  <c r="AA205" i="1"/>
  <c r="AA204" i="1"/>
  <c r="AB204" i="1" s="1"/>
  <c r="AA202" i="1"/>
  <c r="AB202" i="1" s="1"/>
  <c r="AA200" i="1"/>
  <c r="AA198" i="1"/>
  <c r="AA196" i="1"/>
  <c r="AF203" i="1"/>
  <c r="AF201" i="1"/>
  <c r="AF199" i="1"/>
  <c r="AF197" i="1"/>
  <c r="AF195" i="1"/>
  <c r="AF205" i="1" s="1"/>
  <c r="AF192" i="1"/>
  <c r="AE193" i="1"/>
  <c r="AD193" i="1"/>
  <c r="AC193" i="1"/>
  <c r="AB193" i="1"/>
  <c r="AA193" i="1"/>
  <c r="AF191" i="1"/>
  <c r="AF190" i="1"/>
  <c r="AF187" i="1"/>
  <c r="AF186" i="1"/>
  <c r="AF185" i="1"/>
  <c r="AF184" i="1"/>
  <c r="AF183" i="1"/>
  <c r="AF182" i="1"/>
  <c r="AF177" i="1"/>
  <c r="AF152" i="1"/>
  <c r="AF153" i="1"/>
  <c r="AF154" i="1"/>
  <c r="AF155" i="1"/>
  <c r="AF156" i="1"/>
  <c r="AD157" i="1"/>
  <c r="AE157" i="1"/>
  <c r="AF160" i="1"/>
  <c r="AF163" i="1"/>
  <c r="AF173" i="1"/>
  <c r="AF172" i="1"/>
  <c r="AF171" i="1"/>
  <c r="AF170" i="1"/>
  <c r="AF169" i="1"/>
  <c r="AE174" i="1"/>
  <c r="AD174" i="1"/>
  <c r="AA166" i="1"/>
  <c r="AB166" i="1"/>
  <c r="AE166" i="1"/>
  <c r="AD166" i="1"/>
  <c r="AF130" i="1"/>
  <c r="AF126" i="1"/>
  <c r="AF122" i="1"/>
  <c r="AF118" i="1"/>
  <c r="AF134" i="1"/>
  <c r="AU63" i="1"/>
  <c r="AX64" i="1" a="1"/>
  <c r="AX64" i="1" s="1"/>
  <c r="AW63" i="1"/>
  <c r="AA28" i="1"/>
  <c r="AB27" i="1"/>
  <c r="AC13" i="1"/>
  <c r="AD12" i="1"/>
  <c r="AE11" i="1"/>
  <c r="AE28" i="1"/>
  <c r="AD27" i="1"/>
  <c r="AB12" i="1"/>
  <c r="AA11" i="1"/>
  <c r="AX65" i="1"/>
  <c r="AY65" i="1"/>
  <c r="AY64" i="1" a="1"/>
  <c r="AY64" i="1" s="1"/>
  <c r="AX63" i="1"/>
  <c r="AY63" i="1"/>
  <c r="AX62" i="1" a="1"/>
  <c r="AX62" i="1" s="1"/>
  <c r="AY62" i="1" a="1"/>
  <c r="AY62" i="1" s="1"/>
  <c r="AX61" i="1"/>
  <c r="AY61" i="1"/>
  <c r="AX60" i="1" a="1"/>
  <c r="AX60" i="1" s="1"/>
  <c r="AY60" i="1" a="1"/>
  <c r="AY60" i="1" s="1"/>
  <c r="AX59" i="1"/>
  <c r="AY59" i="1"/>
  <c r="AX58" i="1" a="1"/>
  <c r="AX58" i="1" s="1"/>
  <c r="AY58" i="1" a="1"/>
  <c r="AY58" i="1" s="1"/>
  <c r="AX57" i="1"/>
  <c r="AY57" i="1"/>
  <c r="AX56" i="1" a="1"/>
  <c r="AX56" i="1" s="1"/>
  <c r="AY56" i="1" a="1"/>
  <c r="AY56" i="1" s="1"/>
  <c r="AD65" i="1"/>
  <c r="AD132" i="1" s="1"/>
  <c r="P65" i="9" s="1"/>
  <c r="AE65" i="1"/>
  <c r="AE132" i="1" s="1"/>
  <c r="Q65" i="9" s="1"/>
  <c r="AD64" i="1" a="1"/>
  <c r="AD64" i="1" s="1"/>
  <c r="AD131" i="1" s="1"/>
  <c r="P64" i="9" s="1"/>
  <c r="AE64" i="1" a="1"/>
  <c r="AE64" i="1" s="1"/>
  <c r="AE131" i="1" s="1"/>
  <c r="Q64" i="9" s="1"/>
  <c r="AD63" i="1"/>
  <c r="AD128" i="1" s="1"/>
  <c r="P63" i="9" s="1"/>
  <c r="AE63" i="1"/>
  <c r="AE128" i="1" s="1"/>
  <c r="Q63" i="9" s="1"/>
  <c r="AD62" i="1" a="1"/>
  <c r="AD62" i="1" s="1"/>
  <c r="AD127" i="1" s="1"/>
  <c r="P62" i="9" s="1"/>
  <c r="AE62" i="1" a="1"/>
  <c r="AE62" i="1" s="1"/>
  <c r="AE127" i="1" s="1"/>
  <c r="Q62" i="9" s="1"/>
  <c r="AD61" i="1"/>
  <c r="AD124" i="1" s="1"/>
  <c r="P61" i="9" s="1"/>
  <c r="AE61" i="1"/>
  <c r="AE124" i="1" s="1"/>
  <c r="Q61" i="9" s="1"/>
  <c r="AD60" i="1" a="1"/>
  <c r="AD60" i="1" s="1"/>
  <c r="AD123" i="1" s="1"/>
  <c r="P60" i="9" s="1"/>
  <c r="AE60" i="1" a="1"/>
  <c r="AE60" i="1" s="1"/>
  <c r="AE123" i="1" s="1"/>
  <c r="Q60" i="9" s="1"/>
  <c r="AD59" i="1"/>
  <c r="AD120" i="1" s="1"/>
  <c r="P59" i="9" s="1"/>
  <c r="AE59" i="1"/>
  <c r="AE120" i="1" s="1"/>
  <c r="Q59" i="9" s="1"/>
  <c r="AD58" i="1" a="1"/>
  <c r="AD58" i="1" s="1"/>
  <c r="AD119" i="1" s="1"/>
  <c r="P58" i="9" s="1"/>
  <c r="AE58" i="1" a="1"/>
  <c r="AE58" i="1" s="1"/>
  <c r="AE119" i="1" s="1"/>
  <c r="Q58" i="9" s="1"/>
  <c r="AD57" i="1"/>
  <c r="AE57" i="1"/>
  <c r="AD56" i="1" a="1"/>
  <c r="AD56" i="1" s="1"/>
  <c r="AE56" i="1" a="1"/>
  <c r="AE56" i="1" s="1"/>
  <c r="AE29" i="1"/>
  <c r="AC28" i="1"/>
  <c r="AA13" i="1"/>
  <c r="AE12" i="1"/>
  <c r="AC12" i="1"/>
  <c r="AD11" i="1"/>
  <c r="AE13" i="1"/>
  <c r="AE27" i="1"/>
  <c r="AD13" i="1"/>
  <c r="AD28" i="1"/>
  <c r="AD29" i="1"/>
  <c r="AC11" i="1"/>
  <c r="AB11" i="1"/>
  <c r="AE24" i="6"/>
  <c r="AE23" i="6"/>
  <c r="AE22" i="6"/>
  <c r="Z24" i="6"/>
  <c r="Z23" i="6"/>
  <c r="Z22" i="6"/>
  <c r="AE19" i="6"/>
  <c r="Z19" i="6"/>
  <c r="AE18" i="6"/>
  <c r="Z18" i="6"/>
  <c r="Y152" i="1"/>
  <c r="Y153" i="1"/>
  <c r="Y154" i="1"/>
  <c r="Y155" i="1"/>
  <c r="Y156" i="1"/>
  <c r="Y163" i="1"/>
  <c r="Y160" i="1"/>
  <c r="AE115" i="1" l="1"/>
  <c r="Q56" i="9"/>
  <c r="AD115" i="1"/>
  <c r="P56" i="9"/>
  <c r="AE116" i="1"/>
  <c r="Q57" i="9"/>
  <c r="AD116" i="1"/>
  <c r="P57" i="9"/>
  <c r="Q66" i="9"/>
  <c r="P66" i="9"/>
  <c r="AD88" i="1"/>
  <c r="P25" i="9" s="1"/>
  <c r="AD87" i="1"/>
  <c r="P24" i="9" s="1"/>
  <c r="AD86" i="1"/>
  <c r="P23" i="9" s="1"/>
  <c r="AE88" i="1"/>
  <c r="Q25" i="9" s="1"/>
  <c r="AE87" i="1"/>
  <c r="Q24" i="9" s="1"/>
  <c r="AE86" i="1"/>
  <c r="Q23" i="9" s="1"/>
  <c r="AE72" i="1"/>
  <c r="Q8" i="9" s="1"/>
  <c r="AE71" i="1"/>
  <c r="Q7" i="9" s="1"/>
  <c r="AE70" i="1"/>
  <c r="AD71" i="1"/>
  <c r="P7" i="9" s="1"/>
  <c r="AD72" i="1"/>
  <c r="P8" i="9" s="1"/>
  <c r="AB70" i="1"/>
  <c r="N6" i="9" s="1"/>
  <c r="Y157" i="1"/>
  <c r="Y166" i="1"/>
  <c r="AD30" i="1"/>
  <c r="AD70" i="1"/>
  <c r="P6" i="9" s="1"/>
  <c r="AC204" i="1"/>
  <c r="AD204" i="1" s="1"/>
  <c r="AE204" i="1" s="1"/>
  <c r="AC202" i="1"/>
  <c r="AD202" i="1" s="1"/>
  <c r="AB200" i="1"/>
  <c r="AC200" i="1" s="1"/>
  <c r="AB198" i="1"/>
  <c r="AB196" i="1"/>
  <c r="AF193" i="1"/>
  <c r="AE30" i="1"/>
  <c r="AF11" i="1"/>
  <c r="Z11" i="1" s="1"/>
  <c r="AD66" i="1"/>
  <c r="AE66" i="1"/>
  <c r="AE21" i="6"/>
  <c r="Z21" i="6"/>
  <c r="AE17" i="6"/>
  <c r="Z17" i="6"/>
  <c r="Y203" i="1"/>
  <c r="Y201" i="1"/>
  <c r="Y199" i="1"/>
  <c r="Y197" i="1"/>
  <c r="Y195" i="1"/>
  <c r="T204" i="1"/>
  <c r="T202" i="1"/>
  <c r="T200" i="1"/>
  <c r="T198" i="1"/>
  <c r="T196" i="1"/>
  <c r="P26" i="9" l="1"/>
  <c r="AE89" i="1"/>
  <c r="Q6" i="9"/>
  <c r="Q26" i="9" s="1"/>
  <c r="AD89" i="1"/>
  <c r="AE202" i="1"/>
  <c r="AD200" i="1"/>
  <c r="AE200" i="1" s="1"/>
  <c r="AC198" i="1"/>
  <c r="AD198" i="1" s="1"/>
  <c r="AE198" i="1" s="1"/>
  <c r="AC196" i="1"/>
  <c r="AD196" i="1" s="1"/>
  <c r="AE196" i="1" s="1"/>
  <c r="U196" i="1"/>
  <c r="U202" i="1"/>
  <c r="V202" i="1" s="1"/>
  <c r="W202" i="1" s="1"/>
  <c r="X202" i="1" s="1"/>
  <c r="U200" i="1"/>
  <c r="V200" i="1" s="1"/>
  <c r="V196" i="1" l="1"/>
  <c r="W196" i="1" s="1"/>
  <c r="X196" i="1" s="1"/>
  <c r="Y202" i="1"/>
  <c r="W200" i="1"/>
  <c r="X200" i="1" s="1"/>
  <c r="Y196" i="1" l="1"/>
  <c r="Y200" i="1"/>
  <c r="Z25" i="6"/>
  <c r="AE25" i="6"/>
  <c r="Z16" i="6"/>
  <c r="AE16" i="6"/>
  <c r="AE20" i="6" l="1"/>
  <c r="Z20" i="6"/>
  <c r="R56" i="1" l="1" a="1"/>
  <c r="R56" i="1" s="1"/>
  <c r="Q56" i="1" a="1"/>
  <c r="Q56" i="1" s="1"/>
  <c r="P56" i="1" a="1"/>
  <c r="P56" i="1" s="1"/>
  <c r="Q65" i="1"/>
  <c r="R65" i="1"/>
  <c r="Q64" i="1" a="1"/>
  <c r="Q64" i="1" s="1"/>
  <c r="R64" i="1" a="1"/>
  <c r="R64" i="1" s="1"/>
  <c r="Q63" i="1"/>
  <c r="R63" i="1"/>
  <c r="Q62" i="1" a="1"/>
  <c r="Q62" i="1" s="1"/>
  <c r="R62" i="1" a="1"/>
  <c r="R62" i="1" s="1"/>
  <c r="Q61" i="1"/>
  <c r="R61" i="1"/>
  <c r="Q60" i="1" a="1"/>
  <c r="Q60" i="1" s="1"/>
  <c r="R60" i="1" a="1"/>
  <c r="R60" i="1" s="1"/>
  <c r="Q59" i="1"/>
  <c r="R59" i="1"/>
  <c r="Q58" i="1" a="1"/>
  <c r="Q58" i="1" s="1"/>
  <c r="R58" i="1" a="1"/>
  <c r="R58" i="1" s="1"/>
  <c r="Q57" i="1"/>
  <c r="R57" i="1"/>
  <c r="W29" i="1"/>
  <c r="W28" i="1"/>
  <c r="W86" i="1"/>
  <c r="W72" i="1"/>
  <c r="G8" i="9" s="1"/>
  <c r="W71" i="1"/>
  <c r="G7" i="9" s="1"/>
  <c r="X29" i="1"/>
  <c r="X28" i="1"/>
  <c r="X86" i="1"/>
  <c r="X72" i="1"/>
  <c r="H8" i="9" s="1"/>
  <c r="X71" i="1"/>
  <c r="H7" i="9" s="1"/>
  <c r="W30" i="1" l="1"/>
  <c r="Z10" i="6" s="1"/>
  <c r="H23" i="9"/>
  <c r="G23" i="9"/>
  <c r="X30" i="1"/>
  <c r="AE10" i="6" s="1"/>
  <c r="X124" i="1"/>
  <c r="H61" i="9" s="1"/>
  <c r="W124" i="1"/>
  <c r="G61" i="9" s="1"/>
  <c r="X127" i="1"/>
  <c r="H62" i="9" s="1"/>
  <c r="W128" i="1"/>
  <c r="G63" i="9" s="1"/>
  <c r="X131" i="1"/>
  <c r="H64" i="9" s="1"/>
  <c r="X123" i="1"/>
  <c r="H60" i="9" s="1"/>
  <c r="W131" i="1"/>
  <c r="G64" i="9" s="1"/>
  <c r="W127" i="1"/>
  <c r="G62" i="9" s="1"/>
  <c r="X128" i="1"/>
  <c r="H63" i="9" s="1"/>
  <c r="W132" i="1"/>
  <c r="G65" i="9" s="1"/>
  <c r="W123" i="1"/>
  <c r="G60" i="9" s="1"/>
  <c r="X132" i="1"/>
  <c r="H65" i="9" s="1"/>
  <c r="X87" i="1"/>
  <c r="H24" i="9" s="1"/>
  <c r="X88" i="1"/>
  <c r="H25" i="9" s="1"/>
  <c r="W87" i="1"/>
  <c r="G24" i="9" s="1"/>
  <c r="W88" i="1"/>
  <c r="G25" i="9" s="1"/>
  <c r="X120" i="1"/>
  <c r="H59" i="9" s="1"/>
  <c r="W120" i="1"/>
  <c r="G59" i="9" s="1"/>
  <c r="W119" i="1"/>
  <c r="X119" i="1"/>
  <c r="X116" i="1"/>
  <c r="H57" i="9"/>
  <c r="W116" i="1"/>
  <c r="W70" i="1"/>
  <c r="X115" i="1"/>
  <c r="H56" i="9" s="1"/>
  <c r="X70" i="1"/>
  <c r="W115" i="1"/>
  <c r="G56" i="9" s="1"/>
  <c r="H58" i="9" l="1"/>
  <c r="G58" i="9"/>
  <c r="G66" i="9" s="1"/>
  <c r="G57" i="9"/>
  <c r="Y116" i="1"/>
  <c r="W89" i="1"/>
  <c r="Z13" i="6" s="1"/>
  <c r="X89" i="1"/>
  <c r="H66" i="9"/>
  <c r="AE13" i="6"/>
  <c r="H6" i="9"/>
  <c r="H26" i="9" s="1"/>
  <c r="G6" i="9"/>
  <c r="G26" i="9" s="1"/>
  <c r="O4" i="8"/>
  <c r="AS147" i="1"/>
  <c r="AS146" i="1"/>
  <c r="AS145" i="1"/>
  <c r="AS144" i="1"/>
  <c r="AS143" i="1"/>
  <c r="AS142" i="1"/>
  <c r="AS141" i="1"/>
  <c r="AS139" i="1"/>
  <c r="AS140" i="1"/>
  <c r="AS138" i="1"/>
  <c r="F147" i="1"/>
  <c r="F146" i="1"/>
  <c r="F145" i="1"/>
  <c r="F144" i="1"/>
  <c r="F143" i="1"/>
  <c r="F142" i="1"/>
  <c r="F141" i="1"/>
  <c r="F140" i="1"/>
  <c r="F139" i="1"/>
  <c r="F138" i="1"/>
  <c r="AQ147" i="1" l="1"/>
  <c r="AP147" i="1"/>
  <c r="AO147" i="1"/>
  <c r="AQ146" i="1"/>
  <c r="AP146" i="1"/>
  <c r="AO146" i="1"/>
  <c r="AQ145" i="1"/>
  <c r="AP145" i="1"/>
  <c r="AO145" i="1"/>
  <c r="AQ144" i="1"/>
  <c r="AP144" i="1"/>
  <c r="AO144" i="1"/>
  <c r="AQ143" i="1"/>
  <c r="AP143" i="1"/>
  <c r="AO143" i="1"/>
  <c r="AQ142" i="1"/>
  <c r="AP142" i="1"/>
  <c r="AO142" i="1"/>
  <c r="AQ141" i="1"/>
  <c r="AP141" i="1"/>
  <c r="AO141" i="1"/>
  <c r="AQ140" i="1"/>
  <c r="AP140" i="1"/>
  <c r="AO140" i="1"/>
  <c r="AQ139" i="1"/>
  <c r="AP139" i="1"/>
  <c r="AO139" i="1"/>
  <c r="AQ138" i="1"/>
  <c r="AP138" i="1"/>
  <c r="AO138" i="1"/>
  <c r="AV64" i="1" a="1"/>
  <c r="AV64" i="1" s="1"/>
  <c r="AW64" i="1" a="1"/>
  <c r="AW64" i="1" s="1"/>
  <c r="AU64" i="1" a="1"/>
  <c r="AU64" i="1" s="1"/>
  <c r="AV62" i="1" a="1"/>
  <c r="AV62" i="1" s="1"/>
  <c r="AW62" i="1" a="1"/>
  <c r="AW62" i="1" s="1"/>
  <c r="AU62" i="1" a="1"/>
  <c r="AU62" i="1" s="1"/>
  <c r="AV60" i="1" a="1"/>
  <c r="AV60" i="1" s="1"/>
  <c r="AW60" i="1" a="1"/>
  <c r="AW60" i="1" s="1"/>
  <c r="AU60" i="1" a="1"/>
  <c r="AU60" i="1" s="1"/>
  <c r="AV58" i="1" a="1"/>
  <c r="AV58" i="1" s="1"/>
  <c r="AW58" i="1" a="1"/>
  <c r="AW58" i="1" s="1"/>
  <c r="AU58" i="1" a="1"/>
  <c r="AU58" i="1" s="1"/>
  <c r="AV56" i="1" a="1"/>
  <c r="AV56" i="1" s="1"/>
  <c r="AW56" i="1" a="1"/>
  <c r="AW56" i="1" s="1"/>
  <c r="AU56" i="1" a="1"/>
  <c r="AU56" i="1" s="1"/>
  <c r="AQ132" i="1"/>
  <c r="AP132" i="1"/>
  <c r="AO132" i="1"/>
  <c r="AQ131" i="1"/>
  <c r="AP131" i="1"/>
  <c r="AO131" i="1"/>
  <c r="AQ128" i="1"/>
  <c r="AP128" i="1"/>
  <c r="AO128" i="1"/>
  <c r="AQ127" i="1"/>
  <c r="AP127" i="1"/>
  <c r="AO127" i="1"/>
  <c r="AQ124" i="1"/>
  <c r="AP124" i="1"/>
  <c r="AO124" i="1"/>
  <c r="AQ123" i="1"/>
  <c r="AP123" i="1"/>
  <c r="AO123" i="1"/>
  <c r="AQ120" i="1"/>
  <c r="AP120" i="1"/>
  <c r="AO120" i="1"/>
  <c r="AQ119" i="1"/>
  <c r="AP119" i="1"/>
  <c r="AO119" i="1"/>
  <c r="AQ116" i="1"/>
  <c r="AP116" i="1"/>
  <c r="AO116" i="1"/>
  <c r="AQ115" i="1"/>
  <c r="AP115" i="1"/>
  <c r="AO115" i="1"/>
  <c r="AA117" i="1" l="1" a="1"/>
  <c r="AA117" i="1" s="1"/>
  <c r="AA121" i="1" a="1"/>
  <c r="AA121" i="1" s="1"/>
  <c r="AA125" i="1" a="1"/>
  <c r="AA125" i="1" s="1"/>
  <c r="AA129" i="1" a="1"/>
  <c r="AA129" i="1" s="1"/>
  <c r="AA133" i="1" a="1"/>
  <c r="AA133" i="1" s="1"/>
  <c r="AE142" i="1" a="1"/>
  <c r="AE142" i="1" s="1"/>
  <c r="AD142" i="1" a="1"/>
  <c r="AD142" i="1" s="1"/>
  <c r="AE117" i="1" a="1"/>
  <c r="AE117" i="1" s="1"/>
  <c r="AD117" i="1" a="1"/>
  <c r="AD117" i="1" s="1"/>
  <c r="AD129" i="1" a="1"/>
  <c r="AD129" i="1" s="1"/>
  <c r="AE129" i="1" a="1"/>
  <c r="AE129" i="1" s="1"/>
  <c r="AD125" i="1" a="1"/>
  <c r="AD125" i="1" s="1"/>
  <c r="AE125" i="1" a="1"/>
  <c r="AE125" i="1" s="1"/>
  <c r="AE138" i="1" a="1"/>
  <c r="AE138" i="1" s="1"/>
  <c r="AD138" i="1" a="1"/>
  <c r="AD138" i="1" s="1"/>
  <c r="AD146" i="1" a="1"/>
  <c r="AD146" i="1" s="1"/>
  <c r="AE146" i="1" a="1"/>
  <c r="AE146" i="1" s="1"/>
  <c r="AD140" i="1" a="1"/>
  <c r="AD140" i="1" s="1"/>
  <c r="AE140" i="1" a="1"/>
  <c r="AE140" i="1" s="1"/>
  <c r="AE121" i="1" a="1"/>
  <c r="AE121" i="1" s="1"/>
  <c r="AD121" i="1" a="1"/>
  <c r="AD121" i="1" s="1"/>
  <c r="AD144" i="1" a="1"/>
  <c r="AD144" i="1" s="1"/>
  <c r="AE144" i="1" a="1"/>
  <c r="AE144" i="1" s="1"/>
  <c r="AD133" i="1" a="1"/>
  <c r="AD133" i="1" s="1"/>
  <c r="AE133" i="1" a="1"/>
  <c r="AE133" i="1" s="1"/>
  <c r="AB140" i="1" a="1"/>
  <c r="AB140" i="1" s="1"/>
  <c r="AB144" i="1" a="1"/>
  <c r="AB144" i="1" s="1"/>
  <c r="AB117" i="1" a="1"/>
  <c r="AB117" i="1" s="1"/>
  <c r="AC121" i="1" a="1"/>
  <c r="AC121" i="1" s="1"/>
  <c r="AA142" i="1" a="1"/>
  <c r="AA142" i="1" s="1"/>
  <c r="AC125" i="1" a="1"/>
  <c r="AC125" i="1" s="1"/>
  <c r="AA146" i="1" a="1"/>
  <c r="AA146" i="1" s="1"/>
  <c r="AA138" i="1" a="1"/>
  <c r="AA138" i="1" s="1"/>
  <c r="AB125" i="1" a="1"/>
  <c r="AB125" i="1" s="1"/>
  <c r="AC140" i="1" a="1"/>
  <c r="AC140" i="1" s="1"/>
  <c r="AC138" i="1" a="1"/>
  <c r="AC138" i="1" s="1"/>
  <c r="AA144" i="1" a="1"/>
  <c r="AA144" i="1" s="1"/>
  <c r="AC142" i="1" a="1"/>
  <c r="AC142" i="1" s="1"/>
  <c r="AB138" i="1" a="1"/>
  <c r="AB138" i="1" s="1"/>
  <c r="AC129" i="1" a="1"/>
  <c r="AC129" i="1" s="1"/>
  <c r="AC144" i="1" a="1"/>
  <c r="AC144" i="1" s="1"/>
  <c r="AA140" i="1" a="1"/>
  <c r="AA140" i="1" s="1"/>
  <c r="AC133" i="1" a="1"/>
  <c r="AC133" i="1" s="1"/>
  <c r="AC146" i="1" a="1"/>
  <c r="AC146" i="1" s="1"/>
  <c r="AB133" i="1" a="1"/>
  <c r="AB133" i="1" s="1"/>
  <c r="AB146" i="1" a="1"/>
  <c r="AB146" i="1" s="1"/>
  <c r="AB129" i="1" a="1"/>
  <c r="AB129" i="1" s="1"/>
  <c r="AC117" i="1" a="1"/>
  <c r="AC117" i="1" s="1"/>
  <c r="AB121" i="1" a="1"/>
  <c r="AB121" i="1" s="1"/>
  <c r="AB142" i="1" a="1"/>
  <c r="AB142" i="1" s="1"/>
  <c r="AF138" i="1" l="1"/>
  <c r="AE135" i="1"/>
  <c r="AE148" i="1"/>
  <c r="AF140" i="1"/>
  <c r="AF146" i="1"/>
  <c r="AD135" i="1"/>
  <c r="AF144" i="1"/>
  <c r="AF142" i="1"/>
  <c r="AD148" i="1"/>
  <c r="AF133" i="1"/>
  <c r="AF129" i="1"/>
  <c r="AF125" i="1"/>
  <c r="AF121" i="1"/>
  <c r="AF117" i="1"/>
  <c r="AB148" i="1"/>
  <c r="AA148" i="1"/>
  <c r="AC148" i="1"/>
  <c r="AP107" i="1"/>
  <c r="AP108" i="1"/>
  <c r="AP109" i="1"/>
  <c r="AP110" i="1"/>
  <c r="AP111" i="1"/>
  <c r="AP92" i="1"/>
  <c r="AO107" i="1"/>
  <c r="AO108" i="1"/>
  <c r="AO109" i="1"/>
  <c r="AO110" i="1"/>
  <c r="AO111" i="1"/>
  <c r="AO92" i="1"/>
  <c r="AQ71" i="1"/>
  <c r="AQ72" i="1"/>
  <c r="AQ86" i="1"/>
  <c r="AQ87" i="1"/>
  <c r="AQ88" i="1"/>
  <c r="AQ70" i="1"/>
  <c r="AO71" i="1"/>
  <c r="AO72" i="1"/>
  <c r="AO86" i="1"/>
  <c r="AO87" i="1"/>
  <c r="AO88" i="1"/>
  <c r="AO70" i="1"/>
  <c r="AF148" i="1" l="1"/>
  <c r="AC65" i="1"/>
  <c r="AC64" i="1" a="1"/>
  <c r="AC64" i="1" s="1"/>
  <c r="AC63" i="1"/>
  <c r="AC62" i="1" a="1"/>
  <c r="AC62" i="1" s="1"/>
  <c r="AC61" i="1"/>
  <c r="AC59" i="1"/>
  <c r="AC57" i="1"/>
  <c r="AB65" i="1"/>
  <c r="AB64" i="1" a="1"/>
  <c r="AB64" i="1" s="1"/>
  <c r="AB63" i="1"/>
  <c r="AB62" i="1" a="1"/>
  <c r="AB62" i="1" s="1"/>
  <c r="AB61" i="1"/>
  <c r="AB59" i="1"/>
  <c r="AB57" i="1"/>
  <c r="AA65" i="1"/>
  <c r="AA63" i="1"/>
  <c r="AA62" i="1" a="1"/>
  <c r="AA62" i="1" s="1"/>
  <c r="AA61" i="1"/>
  <c r="AA59" i="1"/>
  <c r="AA57" i="1"/>
  <c r="AC60" i="1" a="1"/>
  <c r="AC60" i="1" s="1"/>
  <c r="AC58" i="1" a="1"/>
  <c r="AC58" i="1" s="1"/>
  <c r="AA56" i="1" a="1"/>
  <c r="AA56" i="1" s="1"/>
  <c r="AS52" i="1"/>
  <c r="AS51" i="1"/>
  <c r="AS50" i="1"/>
  <c r="AS49" i="1"/>
  <c r="AS48" i="1"/>
  <c r="AS47" i="1"/>
  <c r="AS46" i="1"/>
  <c r="AS33" i="1"/>
  <c r="AC71" i="1"/>
  <c r="O7" i="9" s="1"/>
  <c r="AB71" i="1"/>
  <c r="N7" i="9" s="1"/>
  <c r="AA12" i="1"/>
  <c r="AC27" i="1"/>
  <c r="AC87" i="1"/>
  <c r="O24" i="9" s="1"/>
  <c r="AC29" i="1"/>
  <c r="AB13" i="1"/>
  <c r="AB86" i="1"/>
  <c r="N23" i="9" s="1"/>
  <c r="AB28" i="1"/>
  <c r="AB29" i="1"/>
  <c r="AA72" i="1"/>
  <c r="M8" i="9" s="1"/>
  <c r="AA27" i="1"/>
  <c r="AA29" i="1"/>
  <c r="N5" i="8"/>
  <c r="N6" i="8"/>
  <c r="N7" i="8"/>
  <c r="N8" i="8"/>
  <c r="N9" i="8"/>
  <c r="N10" i="8"/>
  <c r="N11" i="8"/>
  <c r="N12" i="8"/>
  <c r="N13" i="8"/>
  <c r="H4" i="8"/>
  <c r="M4" i="8" s="1"/>
  <c r="S5" i="8"/>
  <c r="S6" i="8"/>
  <c r="S7" i="8"/>
  <c r="S8" i="8"/>
  <c r="S9" i="8"/>
  <c r="S10" i="8"/>
  <c r="S11" i="8"/>
  <c r="S12" i="8"/>
  <c r="S13" i="8"/>
  <c r="S4" i="8"/>
  <c r="O64" i="1" a="1"/>
  <c r="O64" i="1" s="1"/>
  <c r="P64" i="1" a="1"/>
  <c r="P64" i="1" s="1"/>
  <c r="N64" i="1" a="1"/>
  <c r="N64" i="1" s="1"/>
  <c r="O62" i="1" a="1"/>
  <c r="O62" i="1" s="1"/>
  <c r="P62" i="1" a="1"/>
  <c r="P62" i="1" s="1"/>
  <c r="N62" i="1" a="1"/>
  <c r="N62" i="1" s="1"/>
  <c r="O60" i="1" a="1"/>
  <c r="O60" i="1" s="1"/>
  <c r="P60" i="1" a="1"/>
  <c r="P60" i="1" s="1"/>
  <c r="N60" i="1" a="1"/>
  <c r="N60" i="1" s="1"/>
  <c r="O58" i="1" a="1"/>
  <c r="O58" i="1" s="1"/>
  <c r="P58" i="1" a="1"/>
  <c r="P58" i="1" s="1"/>
  <c r="N58" i="1" a="1"/>
  <c r="N58" i="1" s="1"/>
  <c r="O56" i="1" a="1"/>
  <c r="O56" i="1" s="1"/>
  <c r="AB88" i="1" l="1"/>
  <c r="N25" i="9" s="1"/>
  <c r="AC88" i="1"/>
  <c r="O25" i="9" s="1"/>
  <c r="AF27" i="1"/>
  <c r="Z27" i="1" s="1"/>
  <c r="AA30" i="1"/>
  <c r="AF29" i="1"/>
  <c r="AE48" i="1"/>
  <c r="AD48" i="1"/>
  <c r="AD107" i="1" s="1"/>
  <c r="AC48" i="1"/>
  <c r="AB48" i="1"/>
  <c r="AA48" i="1"/>
  <c r="AC86" i="1"/>
  <c r="O23" i="9" s="1"/>
  <c r="AC30" i="1"/>
  <c r="AE49" i="1"/>
  <c r="AD49" i="1"/>
  <c r="AD108" i="1" s="1"/>
  <c r="AC49" i="1"/>
  <c r="AB49" i="1"/>
  <c r="AA49" i="1"/>
  <c r="AF12" i="1"/>
  <c r="Z12" i="1" s="1"/>
  <c r="AE51" i="1"/>
  <c r="AD51" i="1"/>
  <c r="AD110" i="1" s="1"/>
  <c r="AC51" i="1"/>
  <c r="AB51" i="1"/>
  <c r="AA51" i="1"/>
  <c r="AB87" i="1"/>
  <c r="N24" i="9" s="1"/>
  <c r="AF28" i="1"/>
  <c r="AD52" i="1"/>
  <c r="AD111" i="1" s="1"/>
  <c r="AB52" i="1"/>
  <c r="AE52" i="1"/>
  <c r="AC52" i="1"/>
  <c r="AA52" i="1"/>
  <c r="AE50" i="1"/>
  <c r="AD50" i="1"/>
  <c r="AD109" i="1" s="1"/>
  <c r="AC50" i="1"/>
  <c r="AB50" i="1"/>
  <c r="AA50" i="1"/>
  <c r="AE33" i="1"/>
  <c r="AD33" i="1"/>
  <c r="AC33" i="1"/>
  <c r="AC92" i="1" s="1"/>
  <c r="AB33" i="1"/>
  <c r="AA33" i="1"/>
  <c r="AE47" i="1"/>
  <c r="AC47" i="1"/>
  <c r="AC106" i="1" s="1"/>
  <c r="AA47" i="1"/>
  <c r="AA106" i="1" s="1"/>
  <c r="AD47" i="1"/>
  <c r="AD106" i="1" s="1"/>
  <c r="AB47" i="1"/>
  <c r="AB106" i="1" s="1"/>
  <c r="AB30" i="1"/>
  <c r="AF13" i="1"/>
  <c r="Z13" i="1" s="1"/>
  <c r="AE46" i="1"/>
  <c r="AD46" i="1"/>
  <c r="AD105" i="1" s="1"/>
  <c r="AC46" i="1"/>
  <c r="AC105" i="1" s="1"/>
  <c r="AB46" i="1"/>
  <c r="AB105" i="1" s="1"/>
  <c r="AA46" i="1"/>
  <c r="AA105" i="1" s="1"/>
  <c r="AA88" i="1"/>
  <c r="AA87" i="1"/>
  <c r="M24" i="9" s="1"/>
  <c r="AA86" i="1"/>
  <c r="M23" i="9" s="1"/>
  <c r="AC72" i="1"/>
  <c r="O8" i="9" s="1"/>
  <c r="AB72" i="1"/>
  <c r="N8" i="9" s="1"/>
  <c r="R8" i="9" s="1"/>
  <c r="AA71" i="1"/>
  <c r="AF71" i="1" s="1"/>
  <c r="AA60" i="1" a="1"/>
  <c r="AA60" i="1" s="1"/>
  <c r="AB58" i="1" a="1"/>
  <c r="AB58" i="1" s="1"/>
  <c r="AF57" i="1"/>
  <c r="AA58" i="1" a="1"/>
  <c r="AA58" i="1" s="1"/>
  <c r="AB56" i="1" a="1"/>
  <c r="AB56" i="1" s="1"/>
  <c r="AC56" i="1" a="1"/>
  <c r="AC56" i="1" s="1"/>
  <c r="AB60" i="1" a="1"/>
  <c r="AB60" i="1" s="1"/>
  <c r="AA70" i="1"/>
  <c r="M6" i="9" s="1"/>
  <c r="AC70" i="1"/>
  <c r="O6" i="9" s="1"/>
  <c r="D147" i="1"/>
  <c r="D146" i="1"/>
  <c r="D145" i="1"/>
  <c r="D144" i="1"/>
  <c r="D143" i="1"/>
  <c r="D142" i="1"/>
  <c r="D141" i="1"/>
  <c r="D140" i="1"/>
  <c r="D139" i="1"/>
  <c r="D138" i="1"/>
  <c r="D132" i="1"/>
  <c r="D131" i="1"/>
  <c r="D128" i="1"/>
  <c r="D127" i="1"/>
  <c r="D124" i="1"/>
  <c r="D123" i="1"/>
  <c r="D120" i="1"/>
  <c r="D119" i="1"/>
  <c r="D116" i="1"/>
  <c r="D115" i="1"/>
  <c r="N59" i="1"/>
  <c r="N61" i="1"/>
  <c r="N63" i="1"/>
  <c r="N65" i="1"/>
  <c r="W146" i="1" l="1" a="1"/>
  <c r="W146" i="1" s="1"/>
  <c r="V146" i="1" a="1"/>
  <c r="V146" i="1" s="1"/>
  <c r="W144" i="1" a="1"/>
  <c r="W144" i="1" s="1"/>
  <c r="V144" i="1" a="1"/>
  <c r="V144" i="1" s="1"/>
  <c r="R6" i="9"/>
  <c r="AC66" i="1"/>
  <c r="R23" i="9"/>
  <c r="R24" i="9"/>
  <c r="N26" i="9"/>
  <c r="O26" i="9"/>
  <c r="AF88" i="1"/>
  <c r="M25" i="9"/>
  <c r="R25" i="9" s="1"/>
  <c r="AE105" i="1"/>
  <c r="M44" i="9" s="1"/>
  <c r="AE106" i="1"/>
  <c r="AF106" i="1" s="1"/>
  <c r="AE109" i="1"/>
  <c r="M48" i="9" s="1"/>
  <c r="AE107" i="1"/>
  <c r="M46" i="9" s="1"/>
  <c r="AE108" i="1"/>
  <c r="M47" i="9" s="1"/>
  <c r="AE111" i="1"/>
  <c r="M50" i="9" s="1"/>
  <c r="AE110" i="1"/>
  <c r="M49" i="9" s="1"/>
  <c r="M7" i="9"/>
  <c r="AF87" i="1"/>
  <c r="AF47" i="1"/>
  <c r="AF72" i="1"/>
  <c r="AF30" i="1"/>
  <c r="AF48" i="1"/>
  <c r="AA53" i="1"/>
  <c r="AF50" i="1"/>
  <c r="AF86" i="1"/>
  <c r="AF70" i="1"/>
  <c r="AC53" i="1"/>
  <c r="AC67" i="1" s="1"/>
  <c r="AF51" i="1"/>
  <c r="AD92" i="1"/>
  <c r="AD112" i="1" s="1"/>
  <c r="AD53" i="1"/>
  <c r="AD67" i="1" s="1"/>
  <c r="AF52" i="1"/>
  <c r="AF33" i="1"/>
  <c r="AB53" i="1"/>
  <c r="AF49" i="1"/>
  <c r="AF46" i="1"/>
  <c r="AE53" i="1"/>
  <c r="AE67" i="1" s="1"/>
  <c r="AE92" i="1"/>
  <c r="AF56" i="1"/>
  <c r="AA66" i="1"/>
  <c r="AB66" i="1"/>
  <c r="AB92" i="1"/>
  <c r="AA92" i="1"/>
  <c r="O57" i="1"/>
  <c r="P57" i="1"/>
  <c r="O59" i="1"/>
  <c r="P59" i="1"/>
  <c r="O61" i="1"/>
  <c r="P61" i="1"/>
  <c r="O63" i="1"/>
  <c r="P63" i="1"/>
  <c r="O65" i="1"/>
  <c r="P65" i="1"/>
  <c r="C132" i="1"/>
  <c r="C124" i="1"/>
  <c r="C120" i="1"/>
  <c r="C116" i="1"/>
  <c r="B140" i="1"/>
  <c r="X140" i="1" s="1" a="1"/>
  <c r="X140" i="1" s="1"/>
  <c r="B141" i="1"/>
  <c r="B142" i="1"/>
  <c r="B143" i="1"/>
  <c r="B144" i="1"/>
  <c r="T144" i="1" s="1" a="1"/>
  <c r="T144" i="1" s="1"/>
  <c r="B145" i="1"/>
  <c r="B146" i="1"/>
  <c r="X146" i="1" s="1" a="1"/>
  <c r="X146" i="1" s="1"/>
  <c r="B147" i="1"/>
  <c r="C139" i="1"/>
  <c r="C140" i="1"/>
  <c r="C141" i="1"/>
  <c r="C142" i="1"/>
  <c r="C143" i="1"/>
  <c r="C144" i="1"/>
  <c r="C145" i="1"/>
  <c r="C146" i="1"/>
  <c r="C147" i="1"/>
  <c r="U142" i="1" l="1" a="1"/>
  <c r="U142" i="1" s="1"/>
  <c r="V142" i="1" a="1"/>
  <c r="V142" i="1" s="1"/>
  <c r="T140" i="1" a="1"/>
  <c r="T140" i="1" s="1"/>
  <c r="V140" i="1" a="1"/>
  <c r="V140" i="1" s="1"/>
  <c r="V148" i="1" s="1"/>
  <c r="W140" i="1" a="1"/>
  <c r="W140" i="1" s="1"/>
  <c r="W148" i="1" s="1"/>
  <c r="U140" i="1" a="1"/>
  <c r="U140" i="1" s="1"/>
  <c r="U148" i="1" s="1"/>
  <c r="T142" i="1" a="1"/>
  <c r="T142" i="1" s="1"/>
  <c r="Y142" i="1" s="1"/>
  <c r="W142" i="1" a="1"/>
  <c r="W142" i="1" s="1"/>
  <c r="U144" i="1" a="1"/>
  <c r="U144" i="1" s="1"/>
  <c r="U146" i="1" a="1"/>
  <c r="U146" i="1" s="1"/>
  <c r="T146" i="1" a="1"/>
  <c r="T146" i="1" s="1"/>
  <c r="Y146" i="1" s="1"/>
  <c r="X142" i="1" a="1"/>
  <c r="X142" i="1" s="1"/>
  <c r="X148" i="1" s="1"/>
  <c r="X144" i="1" a="1"/>
  <c r="X144" i="1" s="1"/>
  <c r="Y144" i="1" s="1"/>
  <c r="Y66" i="1"/>
  <c r="N45" i="9"/>
  <c r="M45" i="9"/>
  <c r="R45" i="9" s="1"/>
  <c r="M26" i="9"/>
  <c r="R26" i="9" s="1"/>
  <c r="R7" i="9"/>
  <c r="AF105" i="1"/>
  <c r="N44" i="9" s="1"/>
  <c r="R44" i="9" s="1"/>
  <c r="AE112" i="1"/>
  <c r="AE149" i="1" s="1"/>
  <c r="AE206" i="1" s="1"/>
  <c r="M31" i="9"/>
  <c r="AA67" i="1"/>
  <c r="AF89" i="1"/>
  <c r="AF53" i="1"/>
  <c r="AD149" i="1"/>
  <c r="AD206" i="1" s="1"/>
  <c r="AB67" i="1"/>
  <c r="AF92" i="1"/>
  <c r="N31" i="9" s="1"/>
  <c r="R31" i="9" s="1"/>
  <c r="T148" i="1" l="1"/>
  <c r="Y140" i="1"/>
  <c r="Y148" i="1" s="1"/>
  <c r="AD208" i="1"/>
  <c r="AD209" i="1" s="1" a="1"/>
  <c r="AD209" i="1" s="1"/>
  <c r="AE208" i="1"/>
  <c r="AE209" i="1" s="1" a="1"/>
  <c r="AE209" i="1" s="1"/>
  <c r="M51" i="9"/>
  <c r="AV65" i="1"/>
  <c r="AW65" i="1"/>
  <c r="AU65" i="1"/>
  <c r="AV63" i="1"/>
  <c r="AV61" i="1"/>
  <c r="AW61" i="1"/>
  <c r="AU61" i="1"/>
  <c r="AV59" i="1"/>
  <c r="AW59" i="1"/>
  <c r="AU59" i="1"/>
  <c r="AV57" i="1"/>
  <c r="AW57" i="1"/>
  <c r="AU57" i="1"/>
  <c r="Z57" i="1" l="1"/>
  <c r="G5" i="1" l="1"/>
  <c r="Z118" i="1" l="1"/>
  <c r="Z130" i="1"/>
  <c r="Z122" i="1"/>
  <c r="Z126" i="1"/>
  <c r="Z134" i="1"/>
  <c r="R5" i="8"/>
  <c r="R6" i="8"/>
  <c r="R7" i="8"/>
  <c r="R8" i="8"/>
  <c r="R9" i="8"/>
  <c r="R10" i="8"/>
  <c r="R11" i="8"/>
  <c r="R12" i="8"/>
  <c r="R13" i="8"/>
  <c r="E4" i="8"/>
  <c r="P4" i="8" s="1"/>
  <c r="R4" i="8"/>
  <c r="E5" i="8"/>
  <c r="P5" i="8" s="1"/>
  <c r="E6" i="8"/>
  <c r="P6" i="8" s="1"/>
  <c r="E7" i="8"/>
  <c r="P7" i="8" s="1"/>
  <c r="E8" i="8"/>
  <c r="P8" i="8" s="1"/>
  <c r="E9" i="8"/>
  <c r="P9" i="8" s="1"/>
  <c r="E10" i="8"/>
  <c r="P10" i="8" s="1"/>
  <c r="E11" i="8"/>
  <c r="P11" i="8" s="1"/>
  <c r="E12" i="8"/>
  <c r="P12" i="8" s="1"/>
  <c r="E13" i="8"/>
  <c r="P13" i="8" s="1"/>
  <c r="H5" i="8"/>
  <c r="M5" i="8" s="1"/>
  <c r="H6" i="8"/>
  <c r="M6" i="8" s="1"/>
  <c r="H7" i="8"/>
  <c r="M7" i="8" s="1"/>
  <c r="H8" i="8"/>
  <c r="M8" i="8" s="1"/>
  <c r="H9" i="8"/>
  <c r="M9" i="8" s="1"/>
  <c r="H10" i="8"/>
  <c r="M10" i="8" s="1"/>
  <c r="H11" i="8"/>
  <c r="M11" i="8" s="1"/>
  <c r="H12" i="8"/>
  <c r="M12" i="8" s="1"/>
  <c r="H13" i="8"/>
  <c r="M13" i="8" s="1"/>
  <c r="O5" i="8"/>
  <c r="O6" i="8"/>
  <c r="O7" i="8"/>
  <c r="O8" i="8"/>
  <c r="O9" i="8"/>
  <c r="O10" i="8"/>
  <c r="O11" i="8"/>
  <c r="O12" i="8"/>
  <c r="O13" i="8"/>
  <c r="T4" i="8" l="1"/>
  <c r="T10" i="8"/>
  <c r="T5" i="8"/>
  <c r="T13" i="8"/>
  <c r="T12" i="8"/>
  <c r="T11" i="8"/>
  <c r="T9" i="8"/>
  <c r="T7" i="8"/>
  <c r="T8" i="8"/>
  <c r="T6" i="8"/>
  <c r="AF202" i="1"/>
  <c r="U19" i="6"/>
  <c r="P19" i="6"/>
  <c r="K19" i="6"/>
  <c r="U18" i="6"/>
  <c r="P18" i="6"/>
  <c r="K18" i="6"/>
  <c r="U24" i="6"/>
  <c r="P24" i="6"/>
  <c r="K24" i="6"/>
  <c r="U23" i="6"/>
  <c r="P23" i="6"/>
  <c r="K23" i="6"/>
  <c r="U22" i="6"/>
  <c r="P22" i="6"/>
  <c r="K22" i="6"/>
  <c r="C128" i="1"/>
  <c r="AF196" i="1" l="1"/>
  <c r="AF200" i="1"/>
  <c r="AF204" i="1"/>
  <c r="AF198" i="1"/>
  <c r="U21" i="6"/>
  <c r="AJ24" i="6"/>
  <c r="P21" i="6"/>
  <c r="AJ23" i="6"/>
  <c r="K21" i="6"/>
  <c r="AJ22" i="6"/>
  <c r="AJ19" i="6"/>
  <c r="K17" i="6"/>
  <c r="AJ18" i="6"/>
  <c r="T15" i="8"/>
  <c r="U17" i="6"/>
  <c r="P17" i="6"/>
  <c r="AJ21" i="6" l="1"/>
  <c r="AJ17" i="6"/>
  <c r="Z191" i="1" l="1"/>
  <c r="Z190" i="1"/>
  <c r="Z187" i="1" l="1"/>
  <c r="AC166" i="1"/>
  <c r="AF166" i="1" s="1"/>
  <c r="AA157" i="1"/>
  <c r="AB157" i="1"/>
  <c r="AC157" i="1"/>
  <c r="AF157" i="1" l="1"/>
  <c r="U28" i="1"/>
  <c r="U30" i="1" s="1"/>
  <c r="U29" i="1"/>
  <c r="V28" i="1"/>
  <c r="V29" i="1"/>
  <c r="V30" i="1" l="1"/>
  <c r="B119" i="1"/>
  <c r="C138" i="1"/>
  <c r="B124" i="1"/>
  <c r="B123" i="1"/>
  <c r="B120" i="1"/>
  <c r="B128" i="1"/>
  <c r="B127" i="1"/>
  <c r="B132" i="1"/>
  <c r="B131" i="1"/>
  <c r="C131" i="1"/>
  <c r="C127" i="1"/>
  <c r="C123" i="1"/>
  <c r="C119" i="1"/>
  <c r="B110" i="1"/>
  <c r="B111" i="1"/>
  <c r="C115" i="1"/>
  <c r="C111" i="1"/>
  <c r="F46" i="1"/>
  <c r="F47" i="1"/>
  <c r="F48" i="1"/>
  <c r="F49" i="1"/>
  <c r="F50" i="1"/>
  <c r="F51" i="1"/>
  <c r="F52" i="1"/>
  <c r="T129" i="1" l="1" a="1"/>
  <c r="T129" i="1" s="1"/>
  <c r="U129" i="1" a="1"/>
  <c r="U129" i="1" s="1"/>
  <c r="V129" i="1" a="1"/>
  <c r="V129" i="1" s="1"/>
  <c r="X129" i="1" a="1"/>
  <c r="X129" i="1" s="1"/>
  <c r="W129" i="1" a="1"/>
  <c r="W129" i="1" s="1"/>
  <c r="T125" i="1" a="1"/>
  <c r="T125" i="1" s="1"/>
  <c r="V125" i="1" a="1"/>
  <c r="V125" i="1" s="1"/>
  <c r="W125" i="1" a="1"/>
  <c r="W125" i="1" s="1"/>
  <c r="X125" i="1" a="1"/>
  <c r="X125" i="1" s="1"/>
  <c r="U125" i="1" a="1"/>
  <c r="U125" i="1" s="1"/>
  <c r="T133" i="1" a="1"/>
  <c r="T133" i="1" s="1"/>
  <c r="X133" i="1" a="1"/>
  <c r="X133" i="1" s="1"/>
  <c r="U133" i="1" a="1"/>
  <c r="U133" i="1" s="1"/>
  <c r="V133" i="1" a="1"/>
  <c r="V133" i="1" s="1"/>
  <c r="W133" i="1" a="1"/>
  <c r="W133" i="1" s="1"/>
  <c r="T121" i="1" a="1"/>
  <c r="T121" i="1" s="1"/>
  <c r="U121" i="1" a="1"/>
  <c r="U121" i="1" s="1"/>
  <c r="W121" i="1" a="1"/>
  <c r="W121" i="1" s="1"/>
  <c r="W135" i="1" s="1"/>
  <c r="V121" i="1" a="1"/>
  <c r="V121" i="1" s="1"/>
  <c r="X121" i="1" a="1"/>
  <c r="X121" i="1" s="1"/>
  <c r="AE15" i="6"/>
  <c r="Z15" i="6"/>
  <c r="AC111" i="1"/>
  <c r="K15" i="6"/>
  <c r="W50" i="1"/>
  <c r="X50" i="1"/>
  <c r="W49" i="1"/>
  <c r="X49" i="1"/>
  <c r="X48" i="1"/>
  <c r="W48" i="1"/>
  <c r="W47" i="1"/>
  <c r="X47" i="1"/>
  <c r="X46" i="1"/>
  <c r="W46" i="1"/>
  <c r="W52" i="1"/>
  <c r="X52" i="1"/>
  <c r="X51" i="1"/>
  <c r="W51" i="1"/>
  <c r="V128" i="1"/>
  <c r="F63" i="9" s="1"/>
  <c r="U128" i="1"/>
  <c r="E63" i="9" s="1"/>
  <c r="V120" i="1"/>
  <c r="F59" i="9" s="1"/>
  <c r="U120" i="1"/>
  <c r="E59" i="9" s="1"/>
  <c r="V132" i="1"/>
  <c r="F65" i="9" s="1"/>
  <c r="U132" i="1"/>
  <c r="E65" i="9" s="1"/>
  <c r="U124" i="1"/>
  <c r="E61" i="9" s="1"/>
  <c r="V124" i="1"/>
  <c r="F61" i="9" s="1"/>
  <c r="P15" i="6"/>
  <c r="U15" i="6"/>
  <c r="Z152" i="1"/>
  <c r="V47" i="1"/>
  <c r="U47" i="1"/>
  <c r="V46" i="1"/>
  <c r="U46" i="1"/>
  <c r="V52" i="1"/>
  <c r="U52" i="1"/>
  <c r="V51" i="1"/>
  <c r="U51" i="1"/>
  <c r="V48" i="1"/>
  <c r="U48" i="1"/>
  <c r="U50" i="1"/>
  <c r="V50" i="1"/>
  <c r="V49" i="1"/>
  <c r="U49" i="1"/>
  <c r="T120" i="1"/>
  <c r="AB111" i="1"/>
  <c r="AA111" i="1"/>
  <c r="AA110" i="1"/>
  <c r="AB110" i="1"/>
  <c r="AC110" i="1"/>
  <c r="T124" i="1"/>
  <c r="T127" i="1"/>
  <c r="T128" i="1"/>
  <c r="T132" i="1"/>
  <c r="T131" i="1"/>
  <c r="T52" i="1"/>
  <c r="T51" i="1"/>
  <c r="Y52" i="1" l="1"/>
  <c r="Y51" i="1"/>
  <c r="Y125" i="1"/>
  <c r="Y121" i="1"/>
  <c r="X135" i="1"/>
  <c r="Y129" i="1"/>
  <c r="Y133" i="1"/>
  <c r="D62" i="9"/>
  <c r="D61" i="9"/>
  <c r="Y124" i="1"/>
  <c r="D64" i="9"/>
  <c r="D65" i="9"/>
  <c r="Y132" i="1"/>
  <c r="D63" i="9"/>
  <c r="I63" i="9" s="1"/>
  <c r="Y128" i="1"/>
  <c r="D59" i="9"/>
  <c r="Y120" i="1"/>
  <c r="I65" i="9"/>
  <c r="I61" i="9"/>
  <c r="I59" i="9"/>
  <c r="W105" i="1"/>
  <c r="G44" i="9" s="1"/>
  <c r="X105" i="1"/>
  <c r="H44" i="9" s="1"/>
  <c r="W109" i="1"/>
  <c r="G48" i="9" s="1"/>
  <c r="V105" i="1"/>
  <c r="F44" i="9" s="1"/>
  <c r="W108" i="1"/>
  <c r="G47" i="9" s="1"/>
  <c r="U107" i="1"/>
  <c r="E46" i="9" s="1"/>
  <c r="U106" i="1"/>
  <c r="E45" i="9" s="1"/>
  <c r="X109" i="1"/>
  <c r="H48" i="9" s="1"/>
  <c r="V106" i="1"/>
  <c r="F45" i="9" s="1"/>
  <c r="U110" i="1"/>
  <c r="E49" i="9" s="1"/>
  <c r="X106" i="1"/>
  <c r="H45" i="9" s="1"/>
  <c r="W106" i="1"/>
  <c r="G45" i="9" s="1"/>
  <c r="W107" i="1"/>
  <c r="G46" i="9" s="1"/>
  <c r="X110" i="1"/>
  <c r="H49" i="9" s="1"/>
  <c r="X107" i="1"/>
  <c r="H46" i="9" s="1"/>
  <c r="V110" i="1"/>
  <c r="F49" i="9" s="1"/>
  <c r="U111" i="1"/>
  <c r="E50" i="9" s="1"/>
  <c r="W110" i="1"/>
  <c r="G49" i="9" s="1"/>
  <c r="V111" i="1"/>
  <c r="F50" i="9" s="1"/>
  <c r="U105" i="1"/>
  <c r="E44" i="9" s="1"/>
  <c r="X111" i="1"/>
  <c r="H50" i="9" s="1"/>
  <c r="X108" i="1"/>
  <c r="H47" i="9" s="1"/>
  <c r="W111" i="1"/>
  <c r="G50" i="9" s="1"/>
  <c r="AF111" i="1"/>
  <c r="N50" i="9" s="1"/>
  <c r="R50" i="9" s="1"/>
  <c r="AF110" i="1"/>
  <c r="N49" i="9" s="1"/>
  <c r="R49" i="9" s="1"/>
  <c r="AJ15" i="6"/>
  <c r="AB128" i="1"/>
  <c r="N63" i="9" s="1"/>
  <c r="AC119" i="1"/>
  <c r="O58" i="9" s="1"/>
  <c r="AB123" i="1"/>
  <c r="N60" i="9" s="1"/>
  <c r="AB124" i="1"/>
  <c r="N61" i="9" s="1"/>
  <c r="AC123" i="1"/>
  <c r="O60" i="9" s="1"/>
  <c r="AB132" i="1"/>
  <c r="N65" i="9" s="1"/>
  <c r="AC127" i="1"/>
  <c r="O62" i="9" s="1"/>
  <c r="AC128" i="1"/>
  <c r="O63" i="9" s="1"/>
  <c r="AC131" i="1"/>
  <c r="O64" i="9" s="1"/>
  <c r="AB120" i="1"/>
  <c r="N59" i="9" s="1"/>
  <c r="AB131" i="1"/>
  <c r="N64" i="9" s="1"/>
  <c r="AC120" i="1"/>
  <c r="O59" i="9" s="1"/>
  <c r="AB119" i="1"/>
  <c r="N58" i="9" s="1"/>
  <c r="AC132" i="1"/>
  <c r="O65" i="9" s="1"/>
  <c r="AC124" i="1"/>
  <c r="O61" i="9" s="1"/>
  <c r="AB127" i="1"/>
  <c r="N62" i="9" s="1"/>
  <c r="V127" i="1"/>
  <c r="F62" i="9" s="1"/>
  <c r="U123" i="1"/>
  <c r="E60" i="9" s="1"/>
  <c r="U127" i="1"/>
  <c r="E62" i="9" s="1"/>
  <c r="V119" i="1"/>
  <c r="V131" i="1"/>
  <c r="F64" i="9" s="1"/>
  <c r="U131" i="1"/>
  <c r="E64" i="9" s="1"/>
  <c r="U119" i="1"/>
  <c r="V123" i="1"/>
  <c r="F60" i="9" s="1"/>
  <c r="AA131" i="1"/>
  <c r="M64" i="9" s="1"/>
  <c r="AF64" i="1"/>
  <c r="AA123" i="1"/>
  <c r="M60" i="9" s="1"/>
  <c r="AF60" i="1"/>
  <c r="AA119" i="1"/>
  <c r="M58" i="9" s="1"/>
  <c r="AF58" i="1"/>
  <c r="AA120" i="1"/>
  <c r="M59" i="9" s="1"/>
  <c r="AF59" i="1"/>
  <c r="AA128" i="1"/>
  <c r="M63" i="9" s="1"/>
  <c r="AF63" i="1"/>
  <c r="AA132" i="1"/>
  <c r="M65" i="9" s="1"/>
  <c r="AF65" i="1"/>
  <c r="AA124" i="1"/>
  <c r="M61" i="9" s="1"/>
  <c r="AF61" i="1"/>
  <c r="AA127" i="1"/>
  <c r="M62" i="9" s="1"/>
  <c r="AF62" i="1"/>
  <c r="Z144" i="1"/>
  <c r="Z138" i="1"/>
  <c r="Z146" i="1"/>
  <c r="Z140" i="1"/>
  <c r="T110" i="1"/>
  <c r="T111" i="1"/>
  <c r="D50" i="9" s="1"/>
  <c r="T47" i="1"/>
  <c r="Y47" i="1" s="1"/>
  <c r="Y131" i="1" l="1"/>
  <c r="F58" i="9"/>
  <c r="V135" i="1"/>
  <c r="E58" i="9"/>
  <c r="U135" i="1"/>
  <c r="Y127" i="1"/>
  <c r="R64" i="9"/>
  <c r="R63" i="9"/>
  <c r="R62" i="9"/>
  <c r="R60" i="9"/>
  <c r="R59" i="9"/>
  <c r="R61" i="9"/>
  <c r="R58" i="9"/>
  <c r="R65" i="9"/>
  <c r="I62" i="9"/>
  <c r="I64" i="9"/>
  <c r="I50" i="9"/>
  <c r="Y110" i="1"/>
  <c r="Y111" i="1"/>
  <c r="D49" i="9"/>
  <c r="I49" i="9" s="1"/>
  <c r="Z47" i="1"/>
  <c r="T106" i="1"/>
  <c r="Y106" i="1" s="1"/>
  <c r="AF128" i="1"/>
  <c r="Z128" i="1" s="1"/>
  <c r="AF66" i="1"/>
  <c r="AF67" i="1" s="1"/>
  <c r="AF124" i="1"/>
  <c r="Z124" i="1" s="1"/>
  <c r="AF132" i="1"/>
  <c r="Z132" i="1" s="1"/>
  <c r="AF120" i="1"/>
  <c r="Z120" i="1" s="1"/>
  <c r="AF131" i="1"/>
  <c r="AF127" i="1"/>
  <c r="AF123" i="1"/>
  <c r="AF119" i="1"/>
  <c r="Z125" i="1"/>
  <c r="Z133" i="1"/>
  <c r="Z129" i="1"/>
  <c r="Z121" i="1"/>
  <c r="Z142" i="1"/>
  <c r="Z52" i="1"/>
  <c r="Z51" i="1"/>
  <c r="D45" i="9" l="1"/>
  <c r="I45" i="9" s="1"/>
  <c r="Z127" i="1"/>
  <c r="Z131" i="1"/>
  <c r="T119" i="1" l="1"/>
  <c r="T135" i="1" l="1"/>
  <c r="Y119" i="1"/>
  <c r="Z119" i="1" s="1"/>
  <c r="D58" i="9"/>
  <c r="I58" i="9" s="1"/>
  <c r="T115" i="1"/>
  <c r="D56" i="9" s="1"/>
  <c r="T123" i="1"/>
  <c r="B107" i="1"/>
  <c r="B108" i="1"/>
  <c r="B109" i="1"/>
  <c r="B92" i="1"/>
  <c r="Z163" i="1"/>
  <c r="Z160" i="1"/>
  <c r="AA108" i="1"/>
  <c r="AC109" i="1"/>
  <c r="F33" i="1"/>
  <c r="D60" i="9" l="1"/>
  <c r="I60" i="9" s="1"/>
  <c r="Y123" i="1"/>
  <c r="Y135" i="1"/>
  <c r="Z123" i="1"/>
  <c r="X33" i="1"/>
  <c r="X53" i="1" s="1"/>
  <c r="X67" i="1" s="1"/>
  <c r="W33" i="1"/>
  <c r="W53" i="1" s="1"/>
  <c r="W67" i="1" s="1"/>
  <c r="T70" i="1"/>
  <c r="D6" i="9" s="1"/>
  <c r="AA115" i="1"/>
  <c r="M56" i="9" s="1"/>
  <c r="AC115" i="1"/>
  <c r="O56" i="9" s="1"/>
  <c r="AB115" i="1"/>
  <c r="N56" i="9" s="1"/>
  <c r="V116" i="1"/>
  <c r="F57" i="9" s="1"/>
  <c r="U116" i="1"/>
  <c r="E57" i="9" s="1"/>
  <c r="Z155" i="1"/>
  <c r="Z156" i="1"/>
  <c r="Z154" i="1"/>
  <c r="Z153" i="1"/>
  <c r="Z193" i="1"/>
  <c r="AC116" i="1"/>
  <c r="O57" i="9" s="1"/>
  <c r="AB116" i="1"/>
  <c r="N57" i="9" s="1"/>
  <c r="U33" i="1"/>
  <c r="U53" i="1" s="1"/>
  <c r="U67" i="1" s="1"/>
  <c r="V33" i="1"/>
  <c r="V53" i="1" s="1"/>
  <c r="V67" i="1" s="1"/>
  <c r="T116" i="1"/>
  <c r="AA174" i="1"/>
  <c r="AB174" i="1"/>
  <c r="AC174" i="1"/>
  <c r="AA109" i="1"/>
  <c r="AB109" i="1"/>
  <c r="AB108" i="1"/>
  <c r="AC108" i="1"/>
  <c r="AA107" i="1"/>
  <c r="AC107" i="1"/>
  <c r="AB107" i="1"/>
  <c r="K20" i="6"/>
  <c r="N66" i="9" l="1"/>
  <c r="O66" i="9"/>
  <c r="R56" i="9"/>
  <c r="D57" i="9"/>
  <c r="Z11" i="6"/>
  <c r="Z9" i="6" s="1"/>
  <c r="AE11" i="6"/>
  <c r="U11" i="6"/>
  <c r="P11" i="6"/>
  <c r="AF108" i="1"/>
  <c r="N47" i="9" s="1"/>
  <c r="R47" i="9" s="1"/>
  <c r="AF174" i="1"/>
  <c r="AB135" i="1"/>
  <c r="AC135" i="1"/>
  <c r="AF109" i="1"/>
  <c r="N48" i="9" s="1"/>
  <c r="R48" i="9" s="1"/>
  <c r="AF107" i="1"/>
  <c r="N46" i="9" s="1"/>
  <c r="R46" i="9" s="1"/>
  <c r="AC112" i="1"/>
  <c r="AF115" i="1"/>
  <c r="X92" i="1"/>
  <c r="X112" i="1" s="1"/>
  <c r="X149" i="1" s="1"/>
  <c r="X206" i="1" s="1"/>
  <c r="W92" i="1"/>
  <c r="W112" i="1" s="1"/>
  <c r="W149" i="1" s="1"/>
  <c r="W206" i="1" s="1"/>
  <c r="AB112" i="1"/>
  <c r="AA116" i="1"/>
  <c r="AF116" i="1" l="1"/>
  <c r="Z116" i="1" s="1"/>
  <c r="M57" i="9"/>
  <c r="D66" i="9"/>
  <c r="I57" i="9"/>
  <c r="N51" i="9"/>
  <c r="R51" i="9" s="1"/>
  <c r="G31" i="9"/>
  <c r="G51" i="9" s="1"/>
  <c r="H31" i="9"/>
  <c r="H51" i="9" s="1"/>
  <c r="AB149" i="1"/>
  <c r="AF135" i="1"/>
  <c r="AA135" i="1"/>
  <c r="AC149" i="1"/>
  <c r="AA112" i="1"/>
  <c r="AF112" i="1"/>
  <c r="AE9" i="6"/>
  <c r="R57" i="9" l="1"/>
  <c r="M66" i="9"/>
  <c r="R66" i="9" s="1"/>
  <c r="Z14" i="6"/>
  <c r="Z12" i="6" s="1"/>
  <c r="Z27" i="6" s="1"/>
  <c r="AE14" i="6"/>
  <c r="AE12" i="6" s="1"/>
  <c r="AE27" i="6" s="1"/>
  <c r="AA149" i="1"/>
  <c r="AF149" i="1"/>
  <c r="U115" i="1"/>
  <c r="U108" i="1"/>
  <c r="E47" i="9" s="1"/>
  <c r="U109" i="1"/>
  <c r="E48" i="9" s="1"/>
  <c r="V107" i="1"/>
  <c r="F46" i="9" s="1"/>
  <c r="V108" i="1"/>
  <c r="F47" i="9" s="1"/>
  <c r="V109" i="1"/>
  <c r="F48" i="9" s="1"/>
  <c r="B71" i="1"/>
  <c r="B72" i="1"/>
  <c r="B86" i="1"/>
  <c r="B87" i="1"/>
  <c r="B88" i="1"/>
  <c r="B70" i="1"/>
  <c r="Z177" i="1"/>
  <c r="D70" i="1"/>
  <c r="K25" i="6"/>
  <c r="C92" i="1"/>
  <c r="D88" i="1"/>
  <c r="D86" i="1"/>
  <c r="D71" i="1"/>
  <c r="D87" i="1"/>
  <c r="E56" i="9" l="1"/>
  <c r="V115" i="1"/>
  <c r="AB89" i="1"/>
  <c r="AB206" i="1" s="1"/>
  <c r="AB208" i="1" s="1"/>
  <c r="AB209" i="1" s="1" a="1"/>
  <c r="AB209" i="1" s="1"/>
  <c r="AB211" i="1" s="1"/>
  <c r="AC89" i="1"/>
  <c r="AC206" i="1" s="1"/>
  <c r="Z169" i="1"/>
  <c r="Z166" i="1"/>
  <c r="T50" i="1"/>
  <c r="Y50" i="1" s="1"/>
  <c r="T49" i="1"/>
  <c r="Y49" i="1" s="1"/>
  <c r="Z111" i="1"/>
  <c r="E66" i="9" l="1"/>
  <c r="F56" i="9"/>
  <c r="F66" i="9" s="1"/>
  <c r="AC208" i="1"/>
  <c r="AC209" i="1" s="1" a="1"/>
  <c r="AC209" i="1" s="1"/>
  <c r="T108" i="1"/>
  <c r="D47" i="9" s="1"/>
  <c r="I47" i="9" s="1"/>
  <c r="Z49" i="1"/>
  <c r="T109" i="1"/>
  <c r="D48" i="9" s="1"/>
  <c r="I48" i="9" s="1"/>
  <c r="Z50" i="1"/>
  <c r="AA89" i="1"/>
  <c r="AA206" i="1" s="1"/>
  <c r="U16" i="6"/>
  <c r="K16" i="6"/>
  <c r="AA208" i="1" l="1"/>
  <c r="AF208" i="1" s="1"/>
  <c r="AF206" i="1"/>
  <c r="I56" i="9"/>
  <c r="I66" i="9"/>
  <c r="Z135" i="1"/>
  <c r="Z115" i="1"/>
  <c r="Y109" i="1"/>
  <c r="Z109" i="1" s="1"/>
  <c r="Y108" i="1"/>
  <c r="Z108" i="1" s="1"/>
  <c r="P16" i="6"/>
  <c r="AJ16" i="6" s="1"/>
  <c r="Z110" i="1"/>
  <c r="U71" i="1"/>
  <c r="E7" i="9" s="1"/>
  <c r="V71" i="1"/>
  <c r="F7" i="9" s="1"/>
  <c r="U72" i="1"/>
  <c r="E8" i="9" s="1"/>
  <c r="V72" i="1"/>
  <c r="F8" i="9" s="1"/>
  <c r="U86" i="1"/>
  <c r="V86" i="1"/>
  <c r="T28" i="1"/>
  <c r="Y28" i="1" s="1"/>
  <c r="U87" i="1"/>
  <c r="E24" i="9" s="1"/>
  <c r="V87" i="1"/>
  <c r="F24" i="9" s="1"/>
  <c r="T29" i="1"/>
  <c r="Y29" i="1" s="1"/>
  <c r="U88" i="1"/>
  <c r="E25" i="9" s="1"/>
  <c r="V88" i="1"/>
  <c r="F25" i="9" s="1"/>
  <c r="U70" i="1"/>
  <c r="E6" i="9" s="1"/>
  <c r="V70" i="1"/>
  <c r="F6" i="9" s="1"/>
  <c r="F23" i="9" l="1"/>
  <c r="V89" i="1"/>
  <c r="E23" i="9"/>
  <c r="U89" i="1"/>
  <c r="T30" i="1"/>
  <c r="AA209" i="1" a="1"/>
  <c r="AA209" i="1" s="1"/>
  <c r="AF209" i="1" s="1"/>
  <c r="I6" i="9"/>
  <c r="F26" i="9"/>
  <c r="E26" i="9"/>
  <c r="Z29" i="1"/>
  <c r="T87" i="1"/>
  <c r="Y87" i="1" s="1"/>
  <c r="T86" i="1"/>
  <c r="T89" i="1" s="1"/>
  <c r="T71" i="1"/>
  <c r="D7" i="9" s="1"/>
  <c r="I7" i="9" s="1"/>
  <c r="T72" i="1"/>
  <c r="T88" i="1"/>
  <c r="Y88" i="1" s="1"/>
  <c r="Z28" i="1" l="1"/>
  <c r="Y30" i="1"/>
  <c r="Z30" i="1" s="1"/>
  <c r="AA211" i="1"/>
  <c r="D25" i="9"/>
  <c r="I25" i="9" s="1"/>
  <c r="Y86" i="1"/>
  <c r="Y89" i="1" s="1"/>
  <c r="D23" i="9"/>
  <c r="I23" i="9" s="1"/>
  <c r="D24" i="9"/>
  <c r="I24" i="9" s="1"/>
  <c r="D8" i="9"/>
  <c r="K13" i="6"/>
  <c r="U10" i="6"/>
  <c r="U9" i="6" s="1"/>
  <c r="P10" i="6"/>
  <c r="P9" i="6" s="1"/>
  <c r="Z173" i="1"/>
  <c r="Z170" i="1"/>
  <c r="Z171" i="1"/>
  <c r="Z172" i="1"/>
  <c r="Z203" i="1"/>
  <c r="Z201" i="1"/>
  <c r="Z199" i="1"/>
  <c r="Z197" i="1"/>
  <c r="Z195" i="1"/>
  <c r="Z185" i="1"/>
  <c r="Z186" i="1"/>
  <c r="Z192" i="1"/>
  <c r="Z182" i="1"/>
  <c r="Z183" i="1"/>
  <c r="Z184" i="1"/>
  <c r="D26" i="9" l="1"/>
  <c r="I26" i="9" s="1"/>
  <c r="I8" i="9"/>
  <c r="U20" i="6"/>
  <c r="P20" i="6"/>
  <c r="U25" i="6"/>
  <c r="P25" i="6"/>
  <c r="U198" i="1"/>
  <c r="U204" i="1"/>
  <c r="T33" i="1"/>
  <c r="T46" i="1"/>
  <c r="Y46" i="1" s="1"/>
  <c r="T48" i="1"/>
  <c r="Y48" i="1" s="1"/>
  <c r="K10" i="6"/>
  <c r="Z157" i="1"/>
  <c r="Z205" i="1"/>
  <c r="U13" i="6"/>
  <c r="P13" i="6"/>
  <c r="Y33" i="1" l="1"/>
  <c r="T53" i="1"/>
  <c r="T67" i="1" s="1"/>
  <c r="T107" i="1"/>
  <c r="D46" i="9" s="1"/>
  <c r="I46" i="9" s="1"/>
  <c r="T105" i="1"/>
  <c r="Y105" i="1" s="1"/>
  <c r="AJ13" i="6"/>
  <c r="AJ25" i="6"/>
  <c r="AJ10" i="6"/>
  <c r="AJ20" i="6"/>
  <c r="V198" i="1"/>
  <c r="V204" i="1"/>
  <c r="Y107" i="1"/>
  <c r="Z48" i="1"/>
  <c r="Z46" i="1"/>
  <c r="T92" i="1"/>
  <c r="Z174" i="1"/>
  <c r="Z200" i="1"/>
  <c r="Z202" i="1"/>
  <c r="U92" i="1"/>
  <c r="U112" i="1" s="1"/>
  <c r="U149" i="1" s="1"/>
  <c r="U206" i="1" s="1"/>
  <c r="V92" i="1"/>
  <c r="V112" i="1" s="1"/>
  <c r="V149" i="1" s="1"/>
  <c r="V206" i="1" s="1"/>
  <c r="D31" i="9" l="1"/>
  <c r="T112" i="1"/>
  <c r="T149" i="1" s="1"/>
  <c r="T206" i="1" s="1"/>
  <c r="Y92" i="1"/>
  <c r="Y112" i="1" s="1"/>
  <c r="Y149" i="1" s="1"/>
  <c r="Y53" i="1"/>
  <c r="D44" i="9"/>
  <c r="U208" i="1"/>
  <c r="U209" i="1" s="1"/>
  <c r="U211" i="1" s="1"/>
  <c r="E31" i="9"/>
  <c r="E51" i="9" s="1"/>
  <c r="V208" i="1"/>
  <c r="F31" i="9"/>
  <c r="F51" i="9" s="1"/>
  <c r="Z33" i="1"/>
  <c r="K11" i="6"/>
  <c r="Z70" i="1"/>
  <c r="Z89" i="1"/>
  <c r="W198" i="1"/>
  <c r="W204" i="1"/>
  <c r="X204" i="1" s="1"/>
  <c r="Z148" i="1"/>
  <c r="Z56" i="1"/>
  <c r="Z66" i="1"/>
  <c r="Z104" i="1"/>
  <c r="Z107" i="1"/>
  <c r="Z103" i="1"/>
  <c r="Y206" i="1" l="1"/>
  <c r="T208" i="1"/>
  <c r="T209" i="1" s="1"/>
  <c r="T211" i="1" s="1"/>
  <c r="Y67" i="1"/>
  <c r="Z67" i="1" s="1"/>
  <c r="V209" i="1"/>
  <c r="V211" i="1" s="1"/>
  <c r="I31" i="9"/>
  <c r="D51" i="9"/>
  <c r="I51" i="9" s="1"/>
  <c r="I44" i="9"/>
  <c r="W208" i="1"/>
  <c r="K14" i="6"/>
  <c r="K12" i="6" s="1"/>
  <c r="Y204" i="1"/>
  <c r="AJ11" i="6"/>
  <c r="K9" i="6"/>
  <c r="AJ9" i="6" s="1"/>
  <c r="X198" i="1"/>
  <c r="U14" i="6"/>
  <c r="U12" i="6" s="1"/>
  <c r="U27" i="6" s="1"/>
  <c r="P14" i="6"/>
  <c r="P12" i="6" s="1"/>
  <c r="P27" i="6" s="1"/>
  <c r="Z112" i="1"/>
  <c r="Z92" i="1"/>
  <c r="AC210" i="1" l="1"/>
  <c r="AC211" i="1" s="1"/>
  <c r="W209" i="1"/>
  <c r="W211" i="1" s="1"/>
  <c r="X208" i="1"/>
  <c r="AJ14" i="6"/>
  <c r="Z28" i="6"/>
  <c r="AJ12" i="6"/>
  <c r="AJ27" i="6" s="1"/>
  <c r="Y198" i="1"/>
  <c r="Z198" i="1" s="1"/>
  <c r="K27" i="6"/>
  <c r="Z196" i="1"/>
  <c r="AD210" i="1" l="1"/>
  <c r="K33" i="6"/>
  <c r="Y208" i="1"/>
  <c r="AE28" i="6"/>
  <c r="X209" i="1"/>
  <c r="X211" i="1" s="1"/>
  <c r="Z29" i="6"/>
  <c r="Z31" i="6" s="1"/>
  <c r="U28" i="6"/>
  <c r="U33" i="6"/>
  <c r="P28" i="6"/>
  <c r="P33" i="6"/>
  <c r="AD211" i="1" l="1"/>
  <c r="Z33" i="6" s="1"/>
  <c r="Z35" i="6" s="1"/>
  <c r="Z34" i="6" s="1"/>
  <c r="AE210" i="1"/>
  <c r="AE211" i="1" s="1"/>
  <c r="AE29" i="6"/>
  <c r="AE31" i="6" s="1"/>
  <c r="Y209" i="1"/>
  <c r="Y211" i="1" s="1"/>
  <c r="U29" i="6"/>
  <c r="U31" i="6" s="1"/>
  <c r="P29" i="6"/>
  <c r="P31" i="6" s="1"/>
  <c r="AE33" i="6" l="1"/>
  <c r="AJ33" i="6" s="1"/>
  <c r="AF210" i="1"/>
  <c r="AF211" i="1" s="1"/>
  <c r="U35" i="6"/>
  <c r="U34" i="6" s="1"/>
  <c r="P35" i="6"/>
  <c r="P34" i="6" s="1"/>
  <c r="Z210" i="1" l="1"/>
  <c r="AE35" i="6"/>
  <c r="AE34" i="6" s="1"/>
  <c r="Z149" i="1"/>
  <c r="Z117" i="1"/>
  <c r="Z206" i="1" l="1"/>
  <c r="Z208" i="1" l="1"/>
  <c r="K28" i="6"/>
  <c r="AJ28" i="6" s="1"/>
  <c r="K29" i="6" l="1"/>
  <c r="Z209" i="1"/>
  <c r="K31" i="6" l="1"/>
  <c r="AJ29" i="6"/>
  <c r="Z211" i="1"/>
  <c r="AJ31" i="6" l="1"/>
  <c r="AJ35" i="6" s="1"/>
  <c r="AJ34" i="6" s="1"/>
  <c r="K35" i="6"/>
  <c r="K34" i="6" s="1"/>
  <c r="Z65" i="1"/>
  <c r="Z59" i="1"/>
  <c r="Z62" i="1"/>
  <c r="Z60" i="1"/>
  <c r="Z58" i="1"/>
  <c r="Z61" i="1"/>
  <c r="Z63" i="1"/>
  <c r="Z64" i="1"/>
  <c r="Z71" i="1"/>
  <c r="Z87" i="1"/>
  <c r="Z72" i="1"/>
  <c r="Z86" i="1"/>
  <c r="Z88" i="1"/>
  <c r="Z20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<sst xmlns="http://schemas.openxmlformats.org/spreadsheetml/2006/main" count="839" uniqueCount="387">
  <si>
    <t>Northern Arizona University Office of Sponsored Project *NEW* Budget Template</t>
  </si>
  <si>
    <t>Start Here</t>
  </si>
  <si>
    <t>This tab has instructions about how to use the budget template.</t>
  </si>
  <si>
    <t xml:space="preserve"> It also includes a calculator for "person months" (i.e. effort) calculations</t>
  </si>
  <si>
    <t>Budget Details</t>
  </si>
  <si>
    <r>
      <t xml:space="preserve">This tab is the </t>
    </r>
    <r>
      <rPr>
        <i/>
        <u/>
        <sz val="11"/>
        <rFont val="Aptos Black"/>
        <family val="2"/>
      </rPr>
      <t>MAIN</t>
    </r>
    <r>
      <rPr>
        <i/>
        <sz val="11"/>
        <color rgb="FF7F7F7F"/>
        <rFont val="Aptos Black"/>
        <family val="2"/>
      </rPr>
      <t xml:space="preserve"> tab. This will house a </t>
    </r>
    <r>
      <rPr>
        <b/>
        <i/>
        <u/>
        <sz val="11"/>
        <color rgb="FF7F7F7F"/>
        <rFont val="Aptos Black"/>
        <family val="2"/>
      </rPr>
      <t>5-year</t>
    </r>
    <r>
      <rPr>
        <i/>
        <sz val="11"/>
        <color rgb="FF7F7F7F"/>
        <rFont val="Aptos Black"/>
        <family val="2"/>
      </rPr>
      <t xml:space="preserve"> budget period with cost share details included. </t>
    </r>
  </si>
  <si>
    <r>
      <t xml:space="preserve">If you are working with fewer years, </t>
    </r>
    <r>
      <rPr>
        <i/>
        <u/>
        <sz val="11"/>
        <rFont val="Aptos Black"/>
        <family val="2"/>
      </rPr>
      <t>do not delete any unused column + rows; just hide it</t>
    </r>
    <r>
      <rPr>
        <i/>
        <sz val="11"/>
        <rFont val="Aptos Black"/>
        <family val="2"/>
      </rPr>
      <t>.</t>
    </r>
    <r>
      <rPr>
        <i/>
        <sz val="11"/>
        <color rgb="FF7F7F7F"/>
        <rFont val="Aptos Black"/>
        <family val="2"/>
      </rPr>
      <t xml:space="preserve"> </t>
    </r>
  </si>
  <si>
    <t>Refrain from deleting cells as most cells are interconnected. If you do not need a particular cell, just hide it.</t>
  </si>
  <si>
    <t xml:space="preserve">Easy groupings have been created to hide categories that are not frequently used. </t>
  </si>
  <si>
    <t xml:space="preserve">Cumulative </t>
  </si>
  <si>
    <t xml:space="preserve">This tab shows you a complete summary of the budget. Use this tab to check and verify the overall cost of the budget. </t>
  </si>
  <si>
    <t>This will also include the total percentage of the COST SHARE totals from the requested budget</t>
  </si>
  <si>
    <t>Travel calculator</t>
  </si>
  <si>
    <t>This tab has a built in calculator to help calculate any travel for the project.</t>
  </si>
  <si>
    <t xml:space="preserve">It include links to the Travel policy as well as some frequently used rates. </t>
  </si>
  <si>
    <t>Rates</t>
  </si>
  <si>
    <t>This tab includes a few NAU rates which is linked to the Budget Details Page.</t>
  </si>
  <si>
    <t>This tab is hidden</t>
  </si>
  <si>
    <t>Summary of personnel costs</t>
  </si>
  <si>
    <t xml:space="preserve">This tab has a summary of the salay &amp; fringe totals for each personnel in the budget details. </t>
  </si>
  <si>
    <r>
      <t xml:space="preserve">like the budget details tab, it is separated into direct and cost share sections. </t>
    </r>
    <r>
      <rPr>
        <i/>
        <u/>
        <sz val="11"/>
        <color rgb="FF7F7F7F"/>
        <rFont val="Aptos Black"/>
        <family val="2"/>
      </rPr>
      <t>This tab is hidden</t>
    </r>
  </si>
  <si>
    <t>Understanding the formatted cells</t>
  </si>
  <si>
    <r>
      <t>Cells with *</t>
    </r>
    <r>
      <rPr>
        <b/>
        <i/>
        <sz val="11"/>
        <color rgb="FF7F7F7F"/>
        <rFont val="Aptos Display"/>
        <family val="2"/>
      </rPr>
      <t>Gold</t>
    </r>
    <r>
      <rPr>
        <i/>
        <sz val="11"/>
        <color rgb="FF7F7F7F"/>
        <rFont val="Aptos Display"/>
        <family val="2"/>
      </rPr>
      <t>*</t>
    </r>
  </si>
  <si>
    <t>background</t>
  </si>
  <si>
    <r>
      <t xml:space="preserve">are input cells. </t>
    </r>
    <r>
      <rPr>
        <b/>
        <i/>
        <sz val="11"/>
        <rFont val="Aptos Display"/>
        <family val="2"/>
      </rPr>
      <t xml:space="preserve">This is where you enter your data. </t>
    </r>
  </si>
  <si>
    <r>
      <t>Cells with *</t>
    </r>
    <r>
      <rPr>
        <b/>
        <i/>
        <sz val="11"/>
        <color rgb="FF7F7F7F"/>
        <rFont val="Aptos Display"/>
        <family val="2"/>
      </rPr>
      <t>Light Gray + Orange</t>
    </r>
    <r>
      <rPr>
        <i/>
        <sz val="11"/>
        <color rgb="FF7F7F7F"/>
        <rFont val="Aptos Display"/>
        <family val="2"/>
      </rPr>
      <t>*</t>
    </r>
  </si>
  <si>
    <t>background + wording</t>
  </si>
  <si>
    <r>
      <t xml:space="preserve">are cells with formulas which allow for automatic calculation. </t>
    </r>
    <r>
      <rPr>
        <i/>
        <sz val="11"/>
        <color rgb="FFFF0000"/>
        <rFont val="Aptos Display"/>
        <family val="2"/>
      </rPr>
      <t>Do not type anything in these cells</t>
    </r>
  </si>
  <si>
    <r>
      <t>Cells with *</t>
    </r>
    <r>
      <rPr>
        <b/>
        <i/>
        <sz val="11"/>
        <color rgb="FF7F7F7F"/>
        <rFont val="Aptos Display"/>
        <family val="2"/>
      </rPr>
      <t>Dark Red</t>
    </r>
    <r>
      <rPr>
        <i/>
        <sz val="11"/>
        <color rgb="FF7F7F7F"/>
        <rFont val="Aptos Display"/>
        <family val="2"/>
      </rPr>
      <t>*</t>
    </r>
  </si>
  <si>
    <t>words</t>
  </si>
  <si>
    <r>
      <t xml:space="preserve">Indicate a drop-down menu: </t>
    </r>
    <r>
      <rPr>
        <i/>
        <sz val="11"/>
        <color rgb="FFFF0000"/>
        <rFont val="Aptos Display"/>
        <family val="2"/>
      </rPr>
      <t xml:space="preserve">Do not type anything in these cells. </t>
    </r>
  </si>
  <si>
    <r>
      <t>Cells with *</t>
    </r>
    <r>
      <rPr>
        <b/>
        <i/>
        <sz val="11"/>
        <color rgb="FF7F7F7F"/>
        <rFont val="Aptos Display"/>
        <family val="2"/>
      </rPr>
      <t>White</t>
    </r>
    <r>
      <rPr>
        <i/>
        <sz val="11"/>
        <color rgb="FF7F7F7F"/>
        <rFont val="Aptos Display"/>
        <family val="2"/>
      </rPr>
      <t>*</t>
    </r>
  </si>
  <si>
    <t>background with  2 orange lines</t>
  </si>
  <si>
    <r>
      <t xml:space="preserve">are linked cells. The information in these cells will automatically populate.  </t>
    </r>
    <r>
      <rPr>
        <i/>
        <sz val="11"/>
        <color rgb="FFFF0000"/>
        <rFont val="Aptos Display"/>
        <family val="2"/>
      </rPr>
      <t>Do not type anything in these cells</t>
    </r>
  </si>
  <si>
    <r>
      <t>Cells with *</t>
    </r>
    <r>
      <rPr>
        <b/>
        <i/>
        <sz val="11"/>
        <color rgb="FF7F7F7F"/>
        <rFont val="Aptos Display"/>
        <family val="2"/>
      </rPr>
      <t>Dark Gray</t>
    </r>
    <r>
      <rPr>
        <i/>
        <sz val="11"/>
        <color rgb="FF7F7F7F"/>
        <rFont val="Aptos Display"/>
        <family val="2"/>
      </rPr>
      <t xml:space="preserve">* </t>
    </r>
  </si>
  <si>
    <r>
      <t xml:space="preserve">are output cells. This is where the total amounts will be reflected. </t>
    </r>
    <r>
      <rPr>
        <i/>
        <sz val="11"/>
        <color rgb="FFFF0000"/>
        <rFont val="Aptos Display"/>
        <family val="2"/>
      </rPr>
      <t>Do not type anything in these cells</t>
    </r>
  </si>
  <si>
    <t>Cells with *Light Blue text"</t>
  </si>
  <si>
    <t>Text</t>
  </si>
  <si>
    <t>are editable. You can add new information there. This is mostly in the 'Subreceipient' section and 'Other Direct Cost' section.</t>
  </si>
  <si>
    <t>Overriding formula(s)</t>
  </si>
  <si>
    <r>
      <t xml:space="preserve">Please refrain from overriding any formula in the budget template as this might </t>
    </r>
    <r>
      <rPr>
        <b/>
        <u/>
        <sz val="11"/>
        <color theme="0" tint="-0.499984740745262"/>
        <rFont val="Aptos"/>
        <family val="2"/>
      </rPr>
      <t>'break</t>
    </r>
    <r>
      <rPr>
        <b/>
        <sz val="11"/>
        <color theme="0" tint="-0.499984740745262"/>
        <rFont val="Aptos"/>
        <family val="2"/>
      </rPr>
      <t>' the budget.</t>
    </r>
  </si>
  <si>
    <t xml:space="preserve">If you are unsure about a particular calculation/formula, be sure to reach out to your Pre-award Administrator for help. </t>
  </si>
  <si>
    <t>e.g. If the you feel a formular in a cell is incorrect, reach out to your Pre-Award Administrator before making any changes</t>
  </si>
  <si>
    <t>IMPORTANT GENERAL INFORMATION</t>
  </si>
  <si>
    <t>Graduate Research Assistantship (GRA)</t>
  </si>
  <si>
    <t>Can be given to Masters or PHD student</t>
  </si>
  <si>
    <t xml:space="preserve">In order to award a full GRAship, the student will need to work 20 hours per week during the academic year (or .5 FTE, 4.385 person months, 760 hours). </t>
  </si>
  <si>
    <t xml:space="preserve">Full GRAship include salary, fringe, full tuition and health insurance benefits </t>
  </si>
  <si>
    <t xml:space="preserve">There are always unique cases with GRAs and awarding GRAship which can make budgeting a bit confusing so be sure to reach out to your Pre-Award Administrator for help. </t>
  </si>
  <si>
    <t>Indirect cost Calculation</t>
  </si>
  <si>
    <t>Modified Total Direct Costs (MTDC) vs. Total Direct Costs (TDC) base</t>
  </si>
  <si>
    <t>MTDC base</t>
  </si>
  <si>
    <t xml:space="preserve">consists of all salaries &amp; wages, fringe benefits, materials, supplies, service, travel and subgrants/subcontracts up to the first $25,000 of each subgrant/subcontract. </t>
  </si>
  <si>
    <t xml:space="preserve">excludes equipment, capital expenditures, charges of patient care, student tuition remission, rental costs of off-site facilities, scholarships and fellowships </t>
  </si>
  <si>
    <t>as well as the portion of each subgrant/subcontract in excess of $25,000</t>
  </si>
  <si>
    <t>TDC base</t>
  </si>
  <si>
    <t xml:space="preserve">includes all costs as direct cost to the project (including tuition remission, and all subcontract costs). </t>
  </si>
  <si>
    <t>There are no exclusions when using the TDC base for indirect cost calculation</t>
  </si>
  <si>
    <t>IMPORTANT</t>
  </si>
  <si>
    <t xml:space="preserve">If the indirect cost rate is limited by the sponsor to a rate lower than NAU's negotiated  rates, NAU prefers to use the TDC base for indirect cost calculations </t>
  </si>
  <si>
    <t xml:space="preserve">UNLESS otherwise specified by the sponsor. In that case, you can use the MTDC base for the indirect cost calculation. </t>
  </si>
  <si>
    <t xml:space="preserve">If you are confused by which base to use, kindly reach out to your Pre-Award Administrator for help. </t>
  </si>
  <si>
    <t>It is important to refrain from overriding any formula in the budget template as this might 'break' the budget.</t>
  </si>
  <si>
    <t xml:space="preserve"> If you are unsure about a particular calculation/formula, be sure to reach out to your Pre-award Administrator for help. </t>
  </si>
  <si>
    <t>Useful "Person Month" Calculator</t>
  </si>
  <si>
    <t xml:space="preserve">Important </t>
  </si>
  <si>
    <t xml:space="preserve">Use the calculator below to calculate the person month (i.e. effort) for each personnel. </t>
  </si>
  <si>
    <r>
      <t xml:space="preserve">This calculator can be used to calculate the 'effort' based on the total # of months </t>
    </r>
    <r>
      <rPr>
        <b/>
        <i/>
        <sz val="11"/>
        <color rgb="FF7F7F7F"/>
        <rFont val="Calibri"/>
        <family val="2"/>
        <scheme val="minor"/>
      </rPr>
      <t>(M)</t>
    </r>
    <r>
      <rPr>
        <i/>
        <sz val="11"/>
        <color rgb="FF7F7F7F"/>
        <rFont val="Calibri"/>
        <family val="2"/>
        <scheme val="minor"/>
      </rPr>
      <t xml:space="preserve">, weeks </t>
    </r>
    <r>
      <rPr>
        <b/>
        <i/>
        <sz val="11"/>
        <color rgb="FF7F7F7F"/>
        <rFont val="Calibri"/>
        <family val="2"/>
        <scheme val="minor"/>
      </rPr>
      <t>(W)</t>
    </r>
    <r>
      <rPr>
        <i/>
        <sz val="11"/>
        <color rgb="FF7F7F7F"/>
        <rFont val="Calibri"/>
        <family val="2"/>
        <scheme val="minor"/>
      </rPr>
      <t xml:space="preserve">, days </t>
    </r>
    <r>
      <rPr>
        <b/>
        <i/>
        <sz val="11"/>
        <color rgb="FF7F7F7F"/>
        <rFont val="Calibri"/>
        <family val="2"/>
        <scheme val="minor"/>
      </rPr>
      <t>(D)</t>
    </r>
    <r>
      <rPr>
        <i/>
        <sz val="11"/>
        <color rgb="FF7F7F7F"/>
        <rFont val="Calibri"/>
        <family val="2"/>
        <scheme val="minor"/>
      </rPr>
      <t xml:space="preserve">, and hours </t>
    </r>
    <r>
      <rPr>
        <b/>
        <i/>
        <sz val="11"/>
        <color rgb="FF7F7F7F"/>
        <rFont val="Calibri"/>
        <family val="2"/>
        <scheme val="minor"/>
      </rPr>
      <t>(H)</t>
    </r>
    <r>
      <rPr>
        <i/>
        <sz val="11"/>
        <color rgb="FF7F7F7F"/>
        <rFont val="Calibri"/>
        <family val="2"/>
        <scheme val="minor"/>
      </rPr>
      <t>.</t>
    </r>
  </si>
  <si>
    <t>It can also be used to convert a percentage of FTE to person month</t>
  </si>
  <si>
    <t xml:space="preserve">How to use </t>
  </si>
  <si>
    <r>
      <t>For each section, input the requested information in the</t>
    </r>
    <r>
      <rPr>
        <b/>
        <i/>
        <u/>
        <sz val="11"/>
        <color rgb="FFFBCF53"/>
        <rFont val="Calibri"/>
        <family val="2"/>
        <scheme val="minor"/>
      </rPr>
      <t xml:space="preserve"> gold field box</t>
    </r>
    <r>
      <rPr>
        <i/>
        <sz val="11"/>
        <color rgb="FF7F7F7F"/>
        <rFont val="Calibri"/>
        <family val="2"/>
        <scheme val="minor"/>
      </rPr>
      <t xml:space="preserve"> and then select from the  </t>
    </r>
    <r>
      <rPr>
        <b/>
        <i/>
        <u/>
        <sz val="11"/>
        <color theme="5" tint="-0.249977111117893"/>
        <rFont val="Calibri"/>
        <family val="2"/>
        <scheme val="minor"/>
      </rPr>
      <t>drop-down option</t>
    </r>
    <r>
      <rPr>
        <i/>
        <sz val="11"/>
        <color rgb="FF7F7F7F"/>
        <rFont val="Calibri"/>
        <family val="2"/>
        <scheme val="minor"/>
      </rPr>
      <t xml:space="preserve"> the correct appointment type. </t>
    </r>
  </si>
  <si>
    <r>
      <rPr>
        <b/>
        <i/>
        <sz val="11"/>
        <color rgb="FF7F7F7F"/>
        <rFont val="Calibri"/>
        <family val="2"/>
        <scheme val="minor"/>
      </rPr>
      <t>Finding "person-months" from the percentage of effort:</t>
    </r>
    <r>
      <rPr>
        <i/>
        <sz val="11"/>
        <color rgb="FF7F7F7F"/>
        <rFont val="Calibri"/>
        <family val="2"/>
        <scheme val="minor"/>
      </rPr>
      <t xml:space="preserve"> Multiply the percentage of your effort associated with the project X the number of months of your appointment</t>
    </r>
  </si>
  <si>
    <r>
      <rPr>
        <b/>
        <i/>
        <sz val="11"/>
        <color rgb="FF7F7F7F"/>
        <rFont val="Calibri"/>
        <family val="2"/>
        <scheme val="minor"/>
      </rPr>
      <t>Finding "person-months" from the hours PI is planning to work</t>
    </r>
    <r>
      <rPr>
        <i/>
        <sz val="11"/>
        <color rgb="FF7F7F7F"/>
        <rFont val="Calibri"/>
        <family val="2"/>
        <scheme val="minor"/>
      </rPr>
      <t>: total-hours-planning to work / total hours in appointment type X total months in appointment type</t>
    </r>
  </si>
  <si>
    <r>
      <rPr>
        <b/>
        <i/>
        <sz val="11"/>
        <color rgb="FF7F7F7F"/>
        <rFont val="Calibri"/>
        <family val="2"/>
        <scheme val="minor"/>
      </rPr>
      <t>Finding "person-months" from the number of week PI is planning to work:</t>
    </r>
    <r>
      <rPr>
        <i/>
        <sz val="11"/>
        <color rgb="FF7F7F7F"/>
        <rFont val="Calibri"/>
        <family val="2"/>
        <scheme val="minor"/>
      </rPr>
      <t xml:space="preserve"> total-weeks-planning to work/ total weeks in appointment type X total weeks in appointment type</t>
    </r>
  </si>
  <si>
    <t>Person Month Calculation Using Percentage of Effort</t>
  </si>
  <si>
    <t>% of effort</t>
  </si>
  <si>
    <t>Appointment type</t>
  </si>
  <si>
    <t>Person Month</t>
  </si>
  <si>
    <t>Person Month Calculation Using Hours</t>
  </si>
  <si>
    <t>Total Working Hours</t>
  </si>
  <si>
    <t>Appointment type - Hours</t>
  </si>
  <si>
    <t>Person Month Calculation Using Weeks</t>
  </si>
  <si>
    <t>Appointment type - Weeks</t>
  </si>
  <si>
    <t>Person Month Calculation Using Days</t>
  </si>
  <si>
    <t>Appointment type - Days</t>
  </si>
  <si>
    <t>FTE to Person Month Calculation</t>
  </si>
  <si>
    <t>FTE</t>
  </si>
  <si>
    <t>Person month</t>
  </si>
  <si>
    <t>Annualized Salary Calculation</t>
  </si>
  <si>
    <t>Base Salary</t>
  </si>
  <si>
    <t>Academic Months</t>
  </si>
  <si>
    <t>Annualized Salary</t>
  </si>
  <si>
    <t xml:space="preserve"> Work Period Calculations</t>
  </si>
  <si>
    <t>Months</t>
  </si>
  <si>
    <t>Weeks</t>
  </si>
  <si>
    <t>Days</t>
  </si>
  <si>
    <t>Hours</t>
  </si>
  <si>
    <t xml:space="preserve">Academic Year: </t>
  </si>
  <si>
    <t>Summer Months:</t>
  </si>
  <si>
    <t xml:space="preserve">Fiscal/ Calendar Year: </t>
  </si>
  <si>
    <t>NAU PROPOSAL BUDGET FORM</t>
  </si>
  <si>
    <t>Click + for Cost Share Details</t>
  </si>
  <si>
    <t>Principal Investigator</t>
  </si>
  <si>
    <t>Proposal Number:</t>
  </si>
  <si>
    <t>Proposal duration</t>
  </si>
  <si>
    <t xml:space="preserve">to </t>
  </si>
  <si>
    <t>Years</t>
  </si>
  <si>
    <t>YEAR 1</t>
  </si>
  <si>
    <t>YEAR 2</t>
  </si>
  <si>
    <t>YEAR 3</t>
  </si>
  <si>
    <t>YEAR 4</t>
  </si>
  <si>
    <t>YEAR 5</t>
  </si>
  <si>
    <t>TOTAL</t>
  </si>
  <si>
    <t xml:space="preserve">OVERALL COST Including Cost Share </t>
  </si>
  <si>
    <t xml:space="preserve">YEAR 4 </t>
  </si>
  <si>
    <t xml:space="preserve">COST SHARE TOTAL </t>
  </si>
  <si>
    <t>SENIOR PERSONNEL Wages</t>
  </si>
  <si>
    <t>Salaries increase 3% per year</t>
  </si>
  <si>
    <t>SENIOR PERSONNEL Salary</t>
  </si>
  <si>
    <t>Name</t>
  </si>
  <si>
    <t>Role</t>
  </si>
  <si>
    <t>Contract Type 
(8.77 for an AY base &amp; 12 for CAL base)</t>
  </si>
  <si>
    <t>Y1 Person Month</t>
  </si>
  <si>
    <t>Y2 Person Month</t>
  </si>
  <si>
    <t>Y3 Person Month</t>
  </si>
  <si>
    <t>Y4 Person Month</t>
  </si>
  <si>
    <t>Y5 Person Month</t>
  </si>
  <si>
    <r>
      <t xml:space="preserve">To get an accurate effort for each person per year, use the  the "person month calculator" below or on the  </t>
    </r>
    <r>
      <rPr>
        <u/>
        <sz val="12"/>
        <color rgb="FFFF0000"/>
        <rFont val="Aptos"/>
        <family val="2"/>
      </rPr>
      <t>"START HERE"</t>
    </r>
    <r>
      <rPr>
        <sz val="12"/>
        <color rgb="FFFF0000"/>
        <rFont val="Aptos"/>
        <family val="2"/>
      </rPr>
      <t xml:space="preserve"> tab </t>
    </r>
  </si>
  <si>
    <t>COST-yr. 1</t>
  </si>
  <si>
    <t>COST-yr. 2</t>
  </si>
  <si>
    <t>COST-yr. 3</t>
  </si>
  <si>
    <t>COST-yr. 4</t>
  </si>
  <si>
    <t>COST-yr. 5</t>
  </si>
  <si>
    <t>COST SHARE TOTAL</t>
  </si>
  <si>
    <t>To get an accurate effort for each person/year, use the "person month calculator" on the "START HERE" tab</t>
  </si>
  <si>
    <t>PI</t>
  </si>
  <si>
    <t>Co PI</t>
  </si>
  <si>
    <t>Senior Personnel</t>
  </si>
  <si>
    <t>appointment type</t>
  </si>
  <si>
    <t>person month</t>
  </si>
  <si>
    <t>Total Sr. Personnel Salary</t>
  </si>
  <si>
    <t>Total - Senior Personnel Salary</t>
  </si>
  <si>
    <t>OTHER PERSONNEL Wages</t>
  </si>
  <si>
    <t>OTHER PERSONNEL Salary/Wage</t>
  </si>
  <si>
    <t>#</t>
  </si>
  <si>
    <t>Role &amp; Name (if applicable)</t>
  </si>
  <si>
    <t>Hours per week</t>
  </si>
  <si>
    <t>Hourly Rate</t>
  </si>
  <si>
    <t>Monthly Salary</t>
  </si>
  <si>
    <t>Y1 # of Months</t>
  </si>
  <si>
    <t>Y2 # of  Months</t>
  </si>
  <si>
    <t>Y3 # of Months</t>
  </si>
  <si>
    <t>Y4 # of Months</t>
  </si>
  <si>
    <t>Y5 # of Months</t>
  </si>
  <si>
    <t>Research Assistant</t>
  </si>
  <si>
    <t>Post-Doc</t>
  </si>
  <si>
    <t xml:space="preserve">Undergrad - AY </t>
  </si>
  <si>
    <t>Undergrad - SM</t>
  </si>
  <si>
    <t>Temp Employee</t>
  </si>
  <si>
    <t>Student Worker</t>
  </si>
  <si>
    <t>Subtotal Oth. Personnel Salary</t>
  </si>
  <si>
    <t>Subtotal - Oth. Personnel Salary</t>
  </si>
  <si>
    <t>CLICK "+" to ADD GRAs
ALL GRADUATE RESEARCH ASSISTANT (GRAs) Salary</t>
  </si>
  <si>
    <t>ALL GRADUATE RESEARCH ASSISTANT (GRAs) Salary</t>
  </si>
  <si>
    <t># of</t>
  </si>
  <si>
    <t xml:space="preserve">Y1 Hrs. per week </t>
  </si>
  <si>
    <t>Y2 Hrs. per week</t>
  </si>
  <si>
    <t xml:space="preserve">Y3 Hrs. per week </t>
  </si>
  <si>
    <t xml:space="preserve">Y4 Hrs. per week </t>
  </si>
  <si>
    <t xml:space="preserve">Y5 Hrs. per week </t>
  </si>
  <si>
    <t>The academic year effort calculation is doubled</t>
  </si>
  <si>
    <t>Y1 Hrs. Per Week</t>
  </si>
  <si>
    <t>Y2 Hrs. Per Week</t>
  </si>
  <si>
    <t>Y3 Hrs. Per Week</t>
  </si>
  <si>
    <t>Y4 Hrs. Per Week</t>
  </si>
  <si>
    <t>Y5 Hrs. Per Week</t>
  </si>
  <si>
    <t>GRA # 1</t>
  </si>
  <si>
    <t>Spring</t>
  </si>
  <si>
    <t>GRA # 0</t>
  </si>
  <si>
    <t>Full year</t>
  </si>
  <si>
    <t>Summer</t>
  </si>
  <si>
    <t>GRA #2</t>
  </si>
  <si>
    <t>GRA #1</t>
  </si>
  <si>
    <t>GRA #3</t>
  </si>
  <si>
    <t>GRA #4</t>
  </si>
  <si>
    <t>GRA #5</t>
  </si>
  <si>
    <t>Subtotal GRA salary</t>
  </si>
  <si>
    <t>Subtotal GRA Salaries</t>
  </si>
  <si>
    <t>Total Other Personnel Salary</t>
  </si>
  <si>
    <t>Total Other Personal Salary</t>
  </si>
  <si>
    <t xml:space="preserve">SENIOR PERSONNEL Fringe </t>
  </si>
  <si>
    <t>ERE%</t>
  </si>
  <si>
    <t>Fringe Benefits are to be calculated based on the OSP Fringe Benefit Calculator for all NAU employees</t>
  </si>
  <si>
    <t>Total Sr Personnel Fringe</t>
  </si>
  <si>
    <t>Total Sr. Personnel Fringe</t>
  </si>
  <si>
    <t>OTHER PERSONNEL Fringe</t>
  </si>
  <si>
    <t>Subtotal Oth. Personnel Benefits</t>
  </si>
  <si>
    <t>CLICK "+" to ADD GRAs
ALL GRADUATE RESEARCH ASSISTANT (GRAs) Benefits</t>
  </si>
  <si>
    <t>ALL GRADUATE RESEARCH ASSISTANT (GRAs) Benefits</t>
  </si>
  <si>
    <t>Fringe Benefits are to be calculated based on the OSP Fringe Benefit Calculator for all NAU employees. 
For the GRA insurance, make sure to select the appropriate insurance type for each year based on the committed effort</t>
  </si>
  <si>
    <t>COST-y1</t>
  </si>
  <si>
    <t>COST-y2</t>
  </si>
  <si>
    <t>COST-y3</t>
  </si>
  <si>
    <t>COST-y4</t>
  </si>
  <si>
    <t>COST-y5</t>
  </si>
  <si>
    <t>GRA Insurance rates</t>
  </si>
  <si>
    <t>If other insurance amount, input -&gt;</t>
  </si>
  <si>
    <t>Subtotal Graduate Research Assistant Benefits</t>
  </si>
  <si>
    <t>CLICK "+" to ADD GRAs
ALL GRADUATE RESEARCH ASSISTANT (GRAs) Tuition Remission</t>
  </si>
  <si>
    <t>ALL GRADUATE RESEARCH ASSISTANT (GRAs) Tuition Remission</t>
  </si>
  <si>
    <t>Tuition Remission</t>
  </si>
  <si>
    <t>Rate</t>
  </si>
  <si>
    <t>if 20 hrs./week</t>
  </si>
  <si>
    <t xml:space="preserve"> if 10-19 hrs./week</t>
  </si>
  <si>
    <t>if 10-19 hrs./week</t>
  </si>
  <si>
    <t>Subtotal Graduate Research Assistant Tuition</t>
  </si>
  <si>
    <t>SubTotal Graduate Research Assistant Tuition</t>
  </si>
  <si>
    <t>Total Other Personnel Benefits + Tuition</t>
  </si>
  <si>
    <t>Total Other Personnel Fringe + Tuition</t>
  </si>
  <si>
    <t>EQUIPMENT</t>
  </si>
  <si>
    <t>Equipment</t>
  </si>
  <si>
    <t>Description</t>
  </si>
  <si>
    <t>Equipment is defined as movable tangible property having a life expectancy of one year+ and unit cost of $5,000+ . Red cells indicate that the amount is below the $5,000 amount</t>
  </si>
  <si>
    <t>EQUIPMENT - Description</t>
  </si>
  <si>
    <t>Total Equipment</t>
  </si>
  <si>
    <t>TRAVEL</t>
  </si>
  <si>
    <t>Type of Travel</t>
  </si>
  <si>
    <t xml:space="preserve">  Domestic</t>
  </si>
  <si>
    <t xml:space="preserve">  International</t>
  </si>
  <si>
    <t>Total Travel</t>
  </si>
  <si>
    <t>PARTICIPANT SUPPORT COSTS</t>
  </si>
  <si>
    <t xml:space="preserve">
Click+/- to show/hide PSC</t>
  </si>
  <si>
    <t>Amount per participant</t>
  </si>
  <si>
    <t># of Participants: Y1</t>
  </si>
  <si>
    <t>#of Participants: Y2</t>
  </si>
  <si>
    <t># of Participants: Y3</t>
  </si>
  <si>
    <t># of Participants: Y4</t>
  </si>
  <si>
    <t># of Participants: Y5</t>
  </si>
  <si>
    <t>Tuition/Fees/Health Insurance</t>
  </si>
  <si>
    <t>Stipends</t>
  </si>
  <si>
    <t>Travel</t>
  </si>
  <si>
    <t>Subsistence</t>
  </si>
  <si>
    <t>Other</t>
  </si>
  <si>
    <t>Total Participant Support Costs</t>
  </si>
  <si>
    <t>OTHER DIRECT COSTS</t>
  </si>
  <si>
    <t>Other Direct Costs</t>
  </si>
  <si>
    <t xml:space="preserve">  Material and Supplies</t>
  </si>
  <si>
    <t xml:space="preserve">  Consultant Services</t>
  </si>
  <si>
    <t xml:space="preserve">  Publishing</t>
  </si>
  <si>
    <t xml:space="preserve">  Publication Costs</t>
  </si>
  <si>
    <t xml:space="preserve">  Computer/Software Services</t>
  </si>
  <si>
    <t xml:space="preserve">  Facility Rental/User Fees</t>
  </si>
  <si>
    <t xml:space="preserve">  Alterations and Renovations</t>
  </si>
  <si>
    <t xml:space="preserve"> Other (including Human Subject Payments)</t>
  </si>
  <si>
    <t xml:space="preserve">  Other (Including Human subjects payments)</t>
  </si>
  <si>
    <t>Total Other Direct Costs</t>
  </si>
  <si>
    <t>SUBRECIPIENT</t>
  </si>
  <si>
    <t>COST SHARE SUBRECIPIENTS</t>
  </si>
  <si>
    <t>Subaward 1</t>
  </si>
  <si>
    <t>Amount</t>
  </si>
  <si>
    <t>&gt; $25K</t>
  </si>
  <si>
    <t>exempt from IDC</t>
  </si>
  <si>
    <t>Subaward 2</t>
  </si>
  <si>
    <t>Subaward 3</t>
  </si>
  <si>
    <t>Subaward 4</t>
  </si>
  <si>
    <t>Subaward 5</t>
  </si>
  <si>
    <t>ALL SUBAWARDS SUBTOTAL</t>
  </si>
  <si>
    <t>TOTAL DIRECT COSTS</t>
  </si>
  <si>
    <t>INDIRECT COSTS</t>
  </si>
  <si>
    <t>Indirect Cost Base</t>
  </si>
  <si>
    <t>Total Indirect Costs</t>
  </si>
  <si>
    <t>On-Campus Research</t>
  </si>
  <si>
    <t>if OTHER rate, type -&gt;</t>
  </si>
  <si>
    <t>OtherTDC</t>
  </si>
  <si>
    <t>Applying Unrecovered Indirect Cost to the budget will be counted as a Match/Cost Share to the Project. This only becomes applicable if and when it is allowed by the sponsor. The cost share portion of the budget has more information -&gt;</t>
  </si>
  <si>
    <t>Unrecovered Indirect Cost Calculation</t>
  </si>
  <si>
    <t>only applicable if/when the sponsor allows unrecovered IDC to be used to meet cost share requirement</t>
  </si>
  <si>
    <t>NAU NICRA Rate =&gt;</t>
  </si>
  <si>
    <t>TOTAL PROJECT COSTS</t>
  </si>
  <si>
    <t>TOTAL COST SHARE COSTS</t>
  </si>
  <si>
    <t>PROPOSAL BUDGET FORM</t>
  </si>
  <si>
    <t>Northern Arizona University</t>
  </si>
  <si>
    <t>Cumulative Budget</t>
  </si>
  <si>
    <t>Year 1</t>
  </si>
  <si>
    <t>Year 2</t>
  </si>
  <si>
    <t>Year 3</t>
  </si>
  <si>
    <t>Year 4</t>
  </si>
  <si>
    <t>Year 5</t>
  </si>
  <si>
    <t>Cumulative</t>
  </si>
  <si>
    <t>Total Salaries</t>
  </si>
  <si>
    <t xml:space="preserve">Sr. Personnel </t>
  </si>
  <si>
    <t>Oth. Personnel</t>
  </si>
  <si>
    <t>Total Benefits</t>
  </si>
  <si>
    <t>Domestic</t>
  </si>
  <si>
    <t>International</t>
  </si>
  <si>
    <t>Total Participant Support cost</t>
  </si>
  <si>
    <t>Materials &amp; Supplies</t>
  </si>
  <si>
    <t>Consultants</t>
  </si>
  <si>
    <t>Oth. Expenses</t>
  </si>
  <si>
    <t>Total Subaward(s)</t>
  </si>
  <si>
    <t>Total Direct Costs</t>
  </si>
  <si>
    <t>Indirect Base</t>
  </si>
  <si>
    <t>Total sponsor requested</t>
  </si>
  <si>
    <t>Cost Share Total</t>
  </si>
  <si>
    <t>Cost Share Percentage</t>
  </si>
  <si>
    <t>Total Budget Costs</t>
  </si>
  <si>
    <t>Travel Calculator</t>
  </si>
  <si>
    <t>Information</t>
  </si>
  <si>
    <t>Cost</t>
  </si>
  <si>
    <t xml:space="preserve">Totals </t>
  </si>
  <si>
    <t>Destination</t>
  </si>
  <si>
    <t># of travelers</t>
  </si>
  <si>
    <t xml:space="preserve"># of days </t>
  </si>
  <si>
    <t># of nights</t>
  </si>
  <si>
    <t>Airline (RT)
(per person)</t>
  </si>
  <si>
    <t>Full day meal
(per person)</t>
  </si>
  <si>
    <t>1st &amp; last day meals 
(per person)</t>
  </si>
  <si>
    <t>Lodging 
(per night)</t>
  </si>
  <si>
    <t>Transportation
(per person)</t>
  </si>
  <si>
    <t>Conference registration 
(per person)</t>
  </si>
  <si>
    <t>Miscellaneous cost 
(per person)</t>
  </si>
  <si>
    <t>1st and last day meal</t>
  </si>
  <si>
    <t>Remaining days (Meal) minus first &amp; last day</t>
  </si>
  <si>
    <t>Airline(RT)</t>
  </si>
  <si>
    <t>Lodging</t>
  </si>
  <si>
    <t>Transportation</t>
  </si>
  <si>
    <t>Conference Registration</t>
  </si>
  <si>
    <t>Miscellenous</t>
  </si>
  <si>
    <t>Trip #1</t>
  </si>
  <si>
    <t>Trip #2</t>
  </si>
  <si>
    <t>Trip #3</t>
  </si>
  <si>
    <t>Trip #4</t>
  </si>
  <si>
    <t>Trip #5</t>
  </si>
  <si>
    <t>Trip #6</t>
  </si>
  <si>
    <t>Trip #7</t>
  </si>
  <si>
    <t>Trip #8</t>
  </si>
  <si>
    <t>Trip #9</t>
  </si>
  <si>
    <t>Trip #10</t>
  </si>
  <si>
    <t>All trips</t>
  </si>
  <si>
    <t>NOTE</t>
  </si>
  <si>
    <t>Useful Links</t>
  </si>
  <si>
    <t>NAU Travel Policies</t>
  </si>
  <si>
    <t>State of Arizona Accounting Manual (SAAM)</t>
  </si>
  <si>
    <t>Per Diem Look-up based on Travel Destination</t>
  </si>
  <si>
    <t>FedRooms</t>
  </si>
  <si>
    <t xml:space="preserve">Transportation expenses may include university fleet vehicle, public transportation, airfare, checked bags, rental cars, mileage, fuel/gas, road tolls, bridge fees, and parking. </t>
  </si>
  <si>
    <t>FedRooms is the official U.S. government hotel program and is recommended for federal travelers by the U.S. General Service Administration (GSA)</t>
  </si>
  <si>
    <t>Summary of Personnel Costs</t>
  </si>
  <si>
    <t>SENIOR PERSONNEL</t>
  </si>
  <si>
    <t>Salary &amp; Fringe Total</t>
  </si>
  <si>
    <t>Y1</t>
  </si>
  <si>
    <t>Y2</t>
  </si>
  <si>
    <t>Y3</t>
  </si>
  <si>
    <t>Y4</t>
  </si>
  <si>
    <t>Y5</t>
  </si>
  <si>
    <t>Total</t>
  </si>
  <si>
    <t xml:space="preserve">Total </t>
  </si>
  <si>
    <t>OTHER PERSONNEL</t>
  </si>
  <si>
    <t>Name &amp; Role</t>
  </si>
  <si>
    <t>Salay &amp; fringe total</t>
  </si>
  <si>
    <t xml:space="preserve">Y1 </t>
  </si>
  <si>
    <t>GRA</t>
  </si>
  <si>
    <t>Appointment</t>
  </si>
  <si>
    <t>Salary &amp; Fringe</t>
  </si>
  <si>
    <t>IDC RATE</t>
  </si>
  <si>
    <t xml:space="preserve">LOCATION </t>
  </si>
  <si>
    <t>RATES</t>
  </si>
  <si>
    <t>On-Campus Instruction</t>
  </si>
  <si>
    <t>On-Campus Other Sponsored Activies</t>
  </si>
  <si>
    <t>Off-Campus Research</t>
  </si>
  <si>
    <t>Off-Campus Instruction</t>
  </si>
  <si>
    <t>Off-Campus Other Sponsored Activies</t>
  </si>
  <si>
    <t>CESU</t>
  </si>
  <si>
    <t>OtherMTDC</t>
  </si>
  <si>
    <t>Wages&amp;Fringe Only</t>
  </si>
  <si>
    <t xml:space="preserve">Tutition Remission </t>
  </si>
  <si>
    <t>Full Tutition</t>
  </si>
  <si>
    <t>Tutition for Academic year 25-26</t>
  </si>
  <si>
    <t>Total benefit if 10-19 hrs/week</t>
  </si>
  <si>
    <t>GRA Insurance</t>
  </si>
  <si>
    <t xml:space="preserve">Year </t>
  </si>
  <si>
    <t>Full year (8/16/24 - 8/15/25) is $2,765. any project that goes past 8/1/15 2025 should use the rate of $2,903</t>
  </si>
  <si>
    <t>Fall</t>
  </si>
  <si>
    <t>Fall (8/16/24 - 12/31/24) is $1,045. Any project past 12/31/24 should be using $1,097</t>
  </si>
  <si>
    <t>Spring (1/1/25-8/15/25) is $1,720. Any project with a project period past 8/15/25 should be using $1,806</t>
  </si>
  <si>
    <t>Summer only 2024</t>
  </si>
  <si>
    <t>summer only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</si>
</sst>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1" formatCode="_(* #,##0_);_(* \(#,##0\);_(* &quot;-&quot;_);_(@_)"/>
    <numFmt numFmtId="44" formatCode="_(&quot;$&quot;* #,##0.00_);_(&quot;$&quot;* \(#,##0.00\);_(&quot;$&quot;* &quot;-&quot;??_);_(@_)"/>
    <numFmt numFmtId="43" formatCode="_(* #,##0.00_);_(* \(#,##0.00\);_(* &quot;-&quot;??_);_(@_)"/>
    <numFmt numFmtId="164" formatCode="_(* #,##0.00_);_(* \(#,##0.00\);_(* &quot;-&quot;_);_(@_)"/>
    <numFmt numFmtId="165" formatCode="_([$$-409]* #,##0_);_([$$-409]* \(#,##0\);_([$$-409]* &quot;-&quot;??_);_(@_)"/>
    <numFmt numFmtId="166" formatCode="_(* #,##0_);_(* \(#,##0\);_(* &quot;-&quot;??_);_(@_)"/>
    <numFmt numFmtId="167" formatCode="_(&quot;$&quot;* #,##0_);_(&quot;$&quot;* \(#,##0\);_(&quot;$&quot;* &quot;-&quot;??_);_(@_)"/>
    <numFmt numFmtId="168" formatCode="0.000"/>
    <numFmt numFmtId="169" formatCode="0.0%"/>
    <numFmt numFmtId="170" formatCode="_(&quot;$&quot;* #,##0.0_);_(&quot;$&quot;* \(#,##0.0\);_(&quot;$&quot;* &quot;-&quot;??_);_(@_)"/>
  </numFmts>
  <fonts count="1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color rgb="FFFF0000"/>
      <name val="Arial"/>
      <family val="2"/>
    </font>
    <font>
      <u/>
      <sz val="10"/>
      <color theme="10"/>
      <name val="Arial"/>
      <family val="2"/>
    </font>
    <font>
      <u/>
      <sz val="10"/>
      <color theme="11"/>
      <name val="Arial"/>
      <family val="2"/>
    </font>
    <font>
      <i/>
      <sz val="10"/>
      <name val="Arial"/>
      <family val="2"/>
    </font>
    <font>
      <sz val="10"/>
      <name val="Arial"/>
      <family val="2"/>
    </font>
    <font>
      <sz val="10"/>
      <name val="Arial"/>
      <family val="2"/>
    </font>
    <font>
      <b/>
      <sz val="13"/>
      <color theme="3"/>
      <name val="Calibri"/>
      <family val="2"/>
      <scheme val="minor"/>
    </font>
    <font>
      <sz val="11"/>
      <name val="Calibri"/>
      <family val="2"/>
      <scheme val="minor"/>
    </font>
    <font>
      <b/>
      <sz val="11"/>
      <name val="Calibri"/>
      <family val="2"/>
      <scheme val="minor"/>
    </font>
    <font>
      <b/>
      <sz val="11"/>
      <name val="Arial"/>
      <family val="2"/>
    </font>
    <font>
      <sz val="11"/>
      <name val="Arial"/>
      <family val="2"/>
    </font>
    <font>
      <b/>
      <sz val="10"/>
      <color theme="9" tint="-0.499984740745262"/>
      <name val="Arial"/>
      <family val="2"/>
    </font>
    <font>
      <b/>
      <sz val="11"/>
      <color theme="1" tint="0.34998626667073579"/>
      <name val="Calibri"/>
      <family val="2"/>
      <scheme val="minor"/>
    </font>
    <font>
      <b/>
      <sz val="11"/>
      <color indexed="10"/>
      <name val="Arial"/>
      <family val="2"/>
    </font>
    <font>
      <sz val="12"/>
      <name val="Arial"/>
      <family val="2"/>
    </font>
    <font>
      <sz val="10"/>
      <name val="Aharoni"/>
      <charset val="177"/>
    </font>
    <font>
      <sz val="10"/>
      <name val="Aptos Display"/>
      <family val="2"/>
    </font>
    <font>
      <sz val="12"/>
      <name val="Aptos Display"/>
      <family val="2"/>
    </font>
    <font>
      <sz val="14"/>
      <name val="Aptos Display"/>
      <family val="2"/>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name val="Arial"/>
      <family val="2"/>
    </font>
    <font>
      <sz val="11"/>
      <color rgb="FFD0CECE"/>
      <name val="Arial"/>
      <family val="2"/>
    </font>
    <font>
      <sz val="11"/>
      <color rgb="FFFFFFFF"/>
      <name val="Arial"/>
      <family val="2"/>
    </font>
    <font>
      <b/>
      <sz val="11"/>
      <name val="Aptos Display"/>
      <family val="2"/>
    </font>
    <font>
      <i/>
      <sz val="11"/>
      <name val="Arial"/>
      <family val="2"/>
    </font>
    <font>
      <b/>
      <sz val="11"/>
      <color theme="0" tint="-0.499984740745262"/>
      <name val="Arial"/>
      <family val="2"/>
    </font>
    <font>
      <b/>
      <sz val="11"/>
      <color theme="9" tint="-0.249977111117893"/>
      <name val="Arial"/>
      <family val="2"/>
    </font>
    <font>
      <sz val="11"/>
      <color rgb="FF000000"/>
      <name val="Arial"/>
      <family val="2"/>
    </font>
    <font>
      <b/>
      <i/>
      <sz val="11"/>
      <color rgb="FF7F7F7F"/>
      <name val="Calibri"/>
      <family val="2"/>
      <scheme val="minor"/>
    </font>
    <font>
      <b/>
      <sz val="9"/>
      <name val="Amasis MT Pro Light"/>
      <family val="1"/>
    </font>
    <font>
      <b/>
      <sz val="11"/>
      <color rgb="FF000000"/>
      <name val="Amasis MT Pro Light"/>
      <family val="1"/>
    </font>
    <font>
      <b/>
      <sz val="11"/>
      <name val="Amasis MT Pro Light"/>
      <family val="1"/>
    </font>
    <font>
      <sz val="10"/>
      <name val="Amasis MT Pro Light"/>
      <family val="1"/>
    </font>
    <font>
      <b/>
      <sz val="10"/>
      <name val="Amasis MT Pro Light"/>
      <family val="1"/>
    </font>
    <font>
      <i/>
      <sz val="10"/>
      <name val="Amasis MT Pro Light"/>
      <family val="1"/>
    </font>
    <font>
      <b/>
      <sz val="11"/>
      <color theme="9"/>
      <name val="Calibri"/>
      <family val="2"/>
      <scheme val="minor"/>
    </font>
    <font>
      <b/>
      <sz val="10"/>
      <color theme="1" tint="4.9989318521683403E-2"/>
      <name val="Franklin Gothic Demi"/>
      <family val="2"/>
    </font>
    <font>
      <b/>
      <sz val="12"/>
      <name val="Aptos Display"/>
      <family val="2"/>
    </font>
    <font>
      <i/>
      <sz val="12"/>
      <color theme="5" tint="-0.249977111117893"/>
      <name val="Aptos Display"/>
      <family val="2"/>
    </font>
    <font>
      <b/>
      <sz val="12"/>
      <color rgb="FF3F3F3F"/>
      <name val="Aptos Display"/>
      <family val="2"/>
    </font>
    <font>
      <sz val="18"/>
      <color theme="3"/>
      <name val="Cambria"/>
      <family val="2"/>
      <scheme val="major"/>
    </font>
    <font>
      <i/>
      <sz val="11"/>
      <color rgb="FF7F7F7F"/>
      <name val="Aptos Black"/>
      <family val="2"/>
    </font>
    <font>
      <b/>
      <i/>
      <u/>
      <sz val="11"/>
      <color rgb="FF7F7F7F"/>
      <name val="Calibri"/>
      <family val="2"/>
      <scheme val="minor"/>
    </font>
    <font>
      <i/>
      <sz val="11"/>
      <color rgb="FF7F7F7F"/>
      <name val="Aptos Display"/>
      <family val="2"/>
    </font>
    <font>
      <i/>
      <u/>
      <sz val="11"/>
      <color rgb="FF7F7F7F"/>
      <name val="Aptos Display"/>
      <family val="2"/>
    </font>
    <font>
      <i/>
      <sz val="11"/>
      <color rgb="FFFF0000"/>
      <name val="Aptos Display"/>
      <family val="2"/>
    </font>
    <font>
      <b/>
      <i/>
      <sz val="11"/>
      <color rgb="FF7F7F7F"/>
      <name val="Aptos Display"/>
      <family val="2"/>
    </font>
    <font>
      <sz val="11"/>
      <color rgb="FF3F3F76"/>
      <name val="Aptos Display"/>
      <family val="2"/>
    </font>
    <font>
      <b/>
      <sz val="11"/>
      <color rgb="FFFA7D00"/>
      <name val="Aptos Display"/>
      <family val="2"/>
    </font>
    <font>
      <sz val="11"/>
      <color rgb="FFFA7D00"/>
      <name val="Aptos Display"/>
      <family val="2"/>
    </font>
    <font>
      <b/>
      <sz val="14"/>
      <name val="Aptos Display"/>
      <family val="2"/>
    </font>
    <font>
      <b/>
      <i/>
      <sz val="11"/>
      <name val="Aptos Display"/>
      <family val="2"/>
    </font>
    <font>
      <b/>
      <sz val="9"/>
      <name val="Aptos Mono"/>
      <family val="3"/>
    </font>
    <font>
      <sz val="11"/>
      <name val="Aptos"/>
      <family val="2"/>
    </font>
    <font>
      <b/>
      <sz val="18"/>
      <name val="Arial"/>
      <family val="2"/>
    </font>
    <font>
      <b/>
      <sz val="10"/>
      <name val="Aptos"/>
      <family val="2"/>
    </font>
    <font>
      <b/>
      <i/>
      <sz val="11"/>
      <color theme="5" tint="-0.249977111117893"/>
      <name val="Calibri"/>
      <family val="2"/>
      <scheme val="minor"/>
    </font>
    <font>
      <sz val="11"/>
      <color rgb="FFFF0000"/>
      <name val="Aptos"/>
      <family val="2"/>
    </font>
    <font>
      <sz val="9"/>
      <name val="Aptos Display"/>
      <family val="2"/>
    </font>
    <font>
      <sz val="8"/>
      <name val="Aptos Display"/>
      <family val="2"/>
    </font>
    <font>
      <sz val="8"/>
      <color rgb="FF3F3F3F"/>
      <name val="Calibri"/>
      <family val="2"/>
      <scheme val="minor"/>
    </font>
    <font>
      <b/>
      <sz val="11"/>
      <color theme="4" tint="-0.249977111117893"/>
      <name val="Arial"/>
      <family val="2"/>
    </font>
    <font>
      <b/>
      <sz val="11"/>
      <color theme="4" tint="-0.249977111117893"/>
      <name val="Calibri"/>
      <family val="2"/>
      <scheme val="minor"/>
    </font>
    <font>
      <b/>
      <sz val="12"/>
      <color theme="4" tint="-0.249977111117893"/>
      <name val="Aptos Display"/>
      <family val="2"/>
    </font>
    <font>
      <b/>
      <i/>
      <sz val="10"/>
      <name val="Aptos Display"/>
      <family val="2"/>
    </font>
    <font>
      <sz val="11"/>
      <color rgb="FF3F3F76"/>
      <name val="Aptos"/>
      <family val="2"/>
    </font>
    <font>
      <b/>
      <sz val="11"/>
      <color rgb="FFFA7D00"/>
      <name val="Aptos"/>
      <family val="2"/>
    </font>
    <font>
      <b/>
      <sz val="14"/>
      <name val="Aptos"/>
      <family val="2"/>
    </font>
    <font>
      <i/>
      <u/>
      <sz val="11"/>
      <name val="Aptos Black"/>
      <family val="2"/>
    </font>
    <font>
      <i/>
      <sz val="11"/>
      <name val="Aptos Black"/>
      <family val="2"/>
    </font>
    <font>
      <i/>
      <sz val="11"/>
      <color rgb="FF7F7F7F"/>
      <name val="Aptos"/>
      <family val="2"/>
    </font>
    <font>
      <b/>
      <i/>
      <u/>
      <sz val="11"/>
      <color rgb="FF7F7F7F"/>
      <name val="Aptos Black"/>
      <family val="2"/>
    </font>
    <font>
      <b/>
      <sz val="14"/>
      <color theme="4"/>
      <name val="Aptos"/>
      <family val="2"/>
    </font>
    <font>
      <sz val="14"/>
      <color rgb="FF3F3F76"/>
      <name val="Calibri"/>
      <family val="2"/>
      <scheme val="minor"/>
    </font>
    <font>
      <sz val="14"/>
      <name val="Arial"/>
      <family val="2"/>
    </font>
    <font>
      <sz val="11"/>
      <color theme="0" tint="-0.499984740745262"/>
      <name val="Arial"/>
      <family val="2"/>
    </font>
    <font>
      <sz val="10"/>
      <color rgb="FFFF0000"/>
      <name val="Aptos"/>
      <family val="2"/>
    </font>
    <font>
      <sz val="9"/>
      <color rgb="FFFF0000"/>
      <name val="Aptos"/>
      <family val="2"/>
    </font>
    <font>
      <b/>
      <i/>
      <sz val="11"/>
      <color theme="5" tint="-0.249977111117893"/>
      <name val="Arial"/>
      <family val="2"/>
    </font>
    <font>
      <u/>
      <sz val="10"/>
      <color theme="10"/>
      <name val="Arial"/>
      <family val="2"/>
    </font>
    <font>
      <b/>
      <sz val="15"/>
      <color theme="0"/>
      <name val="Calibri"/>
      <family val="2"/>
      <scheme val="minor"/>
    </font>
    <font>
      <i/>
      <sz val="11"/>
      <color theme="0"/>
      <name val="Calibri"/>
      <family val="2"/>
      <scheme val="minor"/>
    </font>
    <font>
      <b/>
      <sz val="13"/>
      <color theme="0"/>
      <name val="Calibri"/>
      <family val="2"/>
      <scheme val="minor"/>
    </font>
    <font>
      <b/>
      <sz val="11"/>
      <color rgb="FF3F3F76"/>
      <name val="Calibri"/>
      <family val="2"/>
      <scheme val="minor"/>
    </font>
    <font>
      <sz val="11"/>
      <color theme="3"/>
      <name val="Calibri"/>
      <family val="2"/>
      <scheme val="minor"/>
    </font>
    <font>
      <u/>
      <sz val="14"/>
      <color theme="1"/>
      <name val="Arial"/>
      <family val="2"/>
    </font>
    <font>
      <b/>
      <u/>
      <sz val="14"/>
      <name val="Cambria"/>
      <family val="1"/>
      <scheme val="major"/>
    </font>
    <font>
      <b/>
      <sz val="14"/>
      <color theme="1" tint="0.34998626667073579"/>
      <name val="Calibri"/>
      <family val="2"/>
      <scheme val="minor"/>
    </font>
    <font>
      <sz val="12"/>
      <name val="Amasis MT Pro"/>
      <family val="1"/>
    </font>
    <font>
      <b/>
      <sz val="12"/>
      <name val="Amasis MT Pro"/>
      <family val="1"/>
    </font>
    <font>
      <b/>
      <sz val="12"/>
      <color theme="9" tint="-0.499984740745262"/>
      <name val="Amasis MT Pro"/>
      <family val="1"/>
    </font>
    <font>
      <i/>
      <sz val="12"/>
      <name val="Amasis MT Pro"/>
      <family val="1"/>
    </font>
    <font>
      <b/>
      <sz val="22"/>
      <name val="Arial"/>
      <family val="2"/>
    </font>
    <font>
      <sz val="12"/>
      <color theme="0"/>
      <name val="Aptos Display"/>
      <family val="2"/>
    </font>
    <font>
      <b/>
      <i/>
      <sz val="11"/>
      <color theme="5"/>
      <name val="Aptos Display"/>
      <family val="2"/>
    </font>
    <font>
      <b/>
      <sz val="11"/>
      <color theme="0" tint="-0.499984740745262"/>
      <name val="Aptos"/>
      <family val="2"/>
    </font>
    <font>
      <b/>
      <u/>
      <sz val="11"/>
      <color theme="0" tint="-0.499984740745262"/>
      <name val="Aptos"/>
      <family val="2"/>
    </font>
    <font>
      <b/>
      <sz val="10"/>
      <color theme="0" tint="-0.499984740745262"/>
      <name val="Arial"/>
      <family val="2"/>
    </font>
    <font>
      <b/>
      <sz val="10"/>
      <color theme="0" tint="-0.499984740745262"/>
      <name val="Aptos"/>
      <family val="2"/>
    </font>
    <font>
      <sz val="10"/>
      <color theme="0" tint="-0.499984740745262"/>
      <name val="Aptos"/>
      <family val="2"/>
    </font>
    <font>
      <sz val="12"/>
      <color rgb="FFFF0000"/>
      <name val="Aptos"/>
      <family val="2"/>
    </font>
    <font>
      <u/>
      <sz val="12"/>
      <color rgb="FFFF0000"/>
      <name val="Aptos"/>
      <family val="2"/>
    </font>
    <font>
      <sz val="10"/>
      <name val="Aptos"/>
      <family val="2"/>
    </font>
    <font>
      <b/>
      <sz val="12"/>
      <color theme="3"/>
      <name val="Calibri"/>
      <family val="2"/>
      <scheme val="minor"/>
    </font>
    <font>
      <sz val="18"/>
      <color theme="3" tint="-0.249977111117893"/>
      <name val="Amasis MT Pro Medium"/>
      <family val="1"/>
    </font>
    <font>
      <sz val="11"/>
      <color theme="0"/>
      <name val="Amasis MT Pro Black"/>
      <family val="1"/>
    </font>
    <font>
      <b/>
      <sz val="10"/>
      <color rgb="FF3F3F3F"/>
      <name val="Aptos"/>
      <family val="2"/>
    </font>
    <font>
      <sz val="24"/>
      <color theme="0"/>
      <name val="Cambria"/>
      <family val="2"/>
      <scheme val="major"/>
    </font>
    <font>
      <b/>
      <i/>
      <sz val="12"/>
      <color rgb="FF7F7F7F"/>
      <name val="Aptos"/>
      <family val="2"/>
    </font>
    <font>
      <b/>
      <sz val="12"/>
      <color rgb="FFFF0000"/>
      <name val="Aptos"/>
      <family val="2"/>
    </font>
    <font>
      <b/>
      <i/>
      <sz val="11"/>
      <color rgb="FF7F7F7F"/>
      <name val="Aptos"/>
      <family val="2"/>
    </font>
    <font>
      <b/>
      <i/>
      <sz val="11"/>
      <color theme="5" tint="-0.249977111117893"/>
      <name val="Aptos"/>
      <family val="2"/>
    </font>
    <font>
      <b/>
      <i/>
      <sz val="12"/>
      <color theme="5" tint="-0.249977111117893"/>
      <name val="Aptos"/>
      <family val="2"/>
    </font>
    <font>
      <b/>
      <i/>
      <u/>
      <sz val="11"/>
      <color theme="5" tint="-0.249977111117893"/>
      <name val="Calibri"/>
      <family val="2"/>
      <scheme val="minor"/>
    </font>
    <font>
      <b/>
      <i/>
      <u/>
      <sz val="11"/>
      <color rgb="FFFBCF53"/>
      <name val="Calibri"/>
      <family val="2"/>
      <scheme val="minor"/>
    </font>
    <font>
      <b/>
      <sz val="11"/>
      <name val="Aptos"/>
      <family val="2"/>
    </font>
    <font>
      <b/>
      <sz val="12"/>
      <color theme="1" tint="0.499984740745262"/>
      <name val="Aptos Display"/>
      <family val="2"/>
    </font>
    <font>
      <b/>
      <sz val="11"/>
      <color theme="1" tint="0.499984740745262"/>
      <name val="Arial"/>
      <family val="2"/>
    </font>
    <font>
      <b/>
      <sz val="10"/>
      <color theme="1" tint="0.499984740745262"/>
      <name val="Arial"/>
      <family val="2"/>
    </font>
    <font>
      <i/>
      <u/>
      <sz val="11"/>
      <color rgb="FF7F7F7F"/>
      <name val="Aptos Black"/>
      <family val="2"/>
    </font>
    <font>
      <sz val="10"/>
      <color theme="1" tint="0.499984740745262"/>
      <name val="Arial"/>
      <family val="2"/>
    </font>
    <font>
      <sz val="11"/>
      <color theme="1" tint="0.499984740745262"/>
      <name val="Calibri"/>
      <family val="2"/>
      <scheme val="minor"/>
    </font>
    <font>
      <sz val="11"/>
      <color theme="1" tint="0.499984740745262"/>
      <name val="Arial"/>
      <family val="2"/>
    </font>
    <font>
      <b/>
      <sz val="11"/>
      <color theme="1" tint="0.499984740745262"/>
      <name val="Calibri"/>
      <family val="2"/>
      <scheme val="minor"/>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4" tint="0.59999389629810485"/>
        <bgColor indexed="65"/>
      </patternFill>
    </fill>
    <fill>
      <patternFill patternType="solid">
        <fgColor rgb="FFFFFFFF"/>
        <bgColor indexed="64"/>
      </patternFill>
    </fill>
    <fill>
      <patternFill patternType="solid">
        <fgColor rgb="FFEBEAE9"/>
        <bgColor indexed="64"/>
      </patternFill>
    </fill>
    <fill>
      <patternFill patternType="solid">
        <fgColor theme="0"/>
        <bgColor indexed="64"/>
      </patternFill>
    </fill>
    <fill>
      <patternFill patternType="solid">
        <fgColor rgb="FFA8BFAE"/>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rgb="FFFFCC99"/>
      </patternFill>
    </fill>
    <fill>
      <patternFill patternType="solid">
        <fgColor rgb="FFF2F2F2"/>
      </patternFill>
    </fill>
    <fill>
      <patternFill patternType="solid">
        <fgColor theme="4"/>
      </patternFill>
    </fill>
    <fill>
      <patternFill patternType="solid">
        <fgColor theme="5" tint="0.79998168889431442"/>
        <bgColor indexed="65"/>
      </patternFill>
    </fill>
    <fill>
      <patternFill patternType="solid">
        <fgColor theme="9" tint="0.79998168889431442"/>
        <bgColor indexed="65"/>
      </patternFill>
    </fill>
    <fill>
      <patternFill patternType="solid">
        <fgColor rgb="FFE1DFE1"/>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4" tint="-0.249977111117893"/>
        <bgColor indexed="64"/>
      </patternFill>
    </fill>
    <fill>
      <patternFill patternType="solid">
        <fgColor theme="2" tint="-0.89999084444715716"/>
        <bgColor indexed="64"/>
      </patternFill>
    </fill>
    <fill>
      <patternFill patternType="solid">
        <fgColor rgb="FFF2F2F2"/>
        <bgColor indexed="64"/>
      </patternFill>
    </fill>
    <fill>
      <patternFill patternType="solid">
        <fgColor theme="3" tint="0.39997558519241921"/>
        <bgColor indexed="64"/>
      </patternFill>
    </fill>
    <fill>
      <patternFill patternType="solid">
        <fgColor rgb="FFFAC01A"/>
        <bgColor indexed="64"/>
      </patternFill>
    </fill>
    <fill>
      <patternFill patternType="solid">
        <fgColor rgb="FFFBCF53"/>
        <bgColor indexed="64"/>
      </patternFill>
    </fill>
    <fill>
      <patternFill patternType="solid">
        <fgColor theme="2" tint="0.5999938962981048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6" tint="0.39997558519241921"/>
        <bgColor indexed="64"/>
      </patternFill>
    </fill>
    <fill>
      <patternFill patternType="solid">
        <fgColor theme="3"/>
        <bgColor indexed="64"/>
      </patternFill>
    </fill>
  </fills>
  <borders count="19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style="thin">
        <color indexed="64"/>
      </bottom>
      <diagonal/>
    </border>
    <border>
      <left style="double">
        <color indexed="64"/>
      </left>
      <right/>
      <top/>
      <bottom/>
      <diagonal/>
    </border>
    <border>
      <left/>
      <right style="double">
        <color indexed="64"/>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theme="0" tint="-0.14999847407452621"/>
      </left>
      <right/>
      <top/>
      <bottom style="thin">
        <color indexed="64"/>
      </bottom>
      <diagonal/>
    </border>
    <border>
      <left style="thin">
        <color theme="0" tint="-0.14999847407452621"/>
      </left>
      <right style="thin">
        <color theme="0" tint="-0.14999847407452621"/>
      </right>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right/>
      <top style="thick">
        <color theme="4" tint="0.499984740745262"/>
      </top>
      <bottom/>
      <diagonal/>
    </border>
    <border>
      <left style="thin">
        <color indexed="64"/>
      </left>
      <right/>
      <top style="thick">
        <color theme="4"/>
      </top>
      <bottom/>
      <diagonal/>
    </border>
    <border>
      <left/>
      <right/>
      <top style="thick">
        <color theme="4"/>
      </top>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style="thin">
        <color rgb="FF7F7F7F"/>
      </right>
      <top style="thin">
        <color rgb="FF7F7F7F"/>
      </top>
      <bottom style="thin">
        <color rgb="FF7F7F7F"/>
      </bottom>
      <diagonal/>
    </border>
    <border>
      <left/>
      <right/>
      <top style="thick">
        <color theme="4"/>
      </top>
      <bottom style="thin">
        <color indexed="64"/>
      </bottom>
      <diagonal/>
    </border>
    <border>
      <left/>
      <right style="double">
        <color indexed="64"/>
      </right>
      <top style="thick">
        <color theme="4"/>
      </top>
      <bottom/>
      <diagonal/>
    </border>
    <border>
      <left style="thin">
        <color rgb="FF3F3F3F"/>
      </left>
      <right style="thin">
        <color rgb="FF3F3F3F"/>
      </right>
      <top style="thin">
        <color rgb="FF3F3F3F"/>
      </top>
      <bottom/>
      <diagonal/>
    </border>
    <border>
      <left/>
      <right style="thin">
        <color rgb="FF7F7F7F"/>
      </right>
      <top/>
      <bottom style="thin">
        <color rgb="FF7F7F7F"/>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thin">
        <color rgb="FF3F3F3F"/>
      </top>
      <bottom style="thin">
        <color rgb="FF3F3F3F"/>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double">
        <color indexed="64"/>
      </right>
      <top style="medium">
        <color theme="4" tint="0.39997558519241921"/>
      </top>
      <bottom/>
      <diagonal/>
    </border>
    <border>
      <left style="double">
        <color indexed="64"/>
      </left>
      <right style="double">
        <color indexed="64"/>
      </right>
      <top style="thin">
        <color rgb="FF7F7F7F"/>
      </top>
      <bottom style="thin">
        <color rgb="FF7F7F7F"/>
      </bottom>
      <diagonal/>
    </border>
    <border>
      <left style="double">
        <color indexed="64"/>
      </left>
      <right style="double">
        <color indexed="64"/>
      </right>
      <top/>
      <bottom style="thin">
        <color indexed="64"/>
      </bottom>
      <diagonal/>
    </border>
    <border>
      <left style="double">
        <color indexed="64"/>
      </left>
      <right style="double">
        <color indexed="64"/>
      </right>
      <top/>
      <bottom style="thin">
        <color rgb="FF3F3F3F"/>
      </bottom>
      <diagonal/>
    </border>
    <border>
      <left style="double">
        <color indexed="64"/>
      </left>
      <right style="double">
        <color indexed="64"/>
      </right>
      <top style="thick">
        <color theme="4" tint="0.499984740745262"/>
      </top>
      <bottom style="thin">
        <color rgb="FF3F3F3F"/>
      </bottom>
      <diagonal/>
    </border>
    <border>
      <left style="double">
        <color indexed="64"/>
      </left>
      <right style="double">
        <color indexed="64"/>
      </right>
      <top/>
      <bottom style="thin">
        <color rgb="FF7F7F7F"/>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medium">
        <color indexed="64"/>
      </top>
      <bottom style="thin">
        <color rgb="FF3F3F3F"/>
      </bottom>
      <diagonal/>
    </border>
    <border>
      <left style="double">
        <color indexed="64"/>
      </left>
      <right style="double">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double">
        <color indexed="64"/>
      </left>
      <right style="double">
        <color indexed="64"/>
      </right>
      <top style="thin">
        <color rgb="FF3F3F3F"/>
      </top>
      <bottom style="medium">
        <color indexed="64"/>
      </bottom>
      <diagonal/>
    </border>
    <border>
      <left style="thin">
        <color rgb="FF7F7F7F"/>
      </left>
      <right style="thin">
        <color rgb="FF7F7F7F"/>
      </right>
      <top style="medium">
        <color indexed="64"/>
      </top>
      <bottom style="thin">
        <color rgb="FF7F7F7F"/>
      </bottom>
      <diagonal/>
    </border>
    <border>
      <left style="double">
        <color indexed="64"/>
      </left>
      <right style="double">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thin">
        <color rgb="FF7F7F7F"/>
      </top>
      <bottom style="medium">
        <color indexed="64"/>
      </bottom>
      <diagonal/>
    </border>
    <border>
      <left/>
      <right/>
      <top style="medium">
        <color indexed="64"/>
      </top>
      <bottom style="medium">
        <color indexed="64"/>
      </bottom>
      <diagonal/>
    </border>
    <border>
      <left/>
      <right/>
      <top style="thick">
        <color theme="4"/>
      </top>
      <bottom style="medium">
        <color indexed="64"/>
      </bottom>
      <diagonal/>
    </border>
    <border>
      <left style="thin">
        <color rgb="FF7F7F7F"/>
      </left>
      <right style="thin">
        <color rgb="FF7F7F7F"/>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theme="4" tint="0.39997558519241921"/>
      </top>
      <bottom/>
      <diagonal/>
    </border>
    <border>
      <left/>
      <right style="thin">
        <color rgb="FF3F3F3F"/>
      </right>
      <top/>
      <bottom/>
      <diagonal/>
    </border>
    <border>
      <left/>
      <right style="thin">
        <color rgb="FF3F3F3F"/>
      </right>
      <top/>
      <bottom style="hair">
        <color indexed="64"/>
      </bottom>
      <diagonal/>
    </border>
    <border>
      <left/>
      <right style="thin">
        <color rgb="FF3F3F3F"/>
      </right>
      <top style="hair">
        <color indexed="64"/>
      </top>
      <bottom style="hair">
        <color indexed="64"/>
      </bottom>
      <diagonal/>
    </border>
    <border>
      <left/>
      <right/>
      <top style="hair">
        <color indexed="64"/>
      </top>
      <bottom style="thin">
        <color indexed="64"/>
      </bottom>
      <diagonal/>
    </border>
    <border>
      <left/>
      <right style="thin">
        <color rgb="FF3F3F3F"/>
      </right>
      <top style="hair">
        <color indexed="64"/>
      </top>
      <bottom style="thin">
        <color indexed="64"/>
      </bottom>
      <diagonal/>
    </border>
    <border>
      <left style="thin">
        <color rgb="FF3F3F3F"/>
      </left>
      <right style="thin">
        <color rgb="FF3F3F3F"/>
      </right>
      <top style="thin">
        <color indexed="64"/>
      </top>
      <bottom style="hair">
        <color indexed="64"/>
      </bottom>
      <diagonal/>
    </border>
    <border>
      <left style="thin">
        <color rgb="FF3F3F3F"/>
      </left>
      <right/>
      <top/>
      <bottom style="thin">
        <color rgb="FF3F3F3F"/>
      </bottom>
      <diagonal/>
    </border>
    <border>
      <left/>
      <right/>
      <top/>
      <bottom style="thin">
        <color rgb="FF3F3F3F"/>
      </bottom>
      <diagonal/>
    </border>
    <border>
      <left style="thin">
        <color rgb="FF3F3F3F"/>
      </left>
      <right style="thin">
        <color rgb="FF3F3F3F"/>
      </right>
      <top style="hair">
        <color indexed="64"/>
      </top>
      <bottom style="hair">
        <color indexed="64"/>
      </bottom>
      <diagonal/>
    </border>
    <border>
      <left style="thin">
        <color rgb="FF3F3F3F"/>
      </left>
      <right/>
      <top style="hair">
        <color indexed="64"/>
      </top>
      <bottom style="hair">
        <color indexed="64"/>
      </bottom>
      <diagonal/>
    </border>
    <border>
      <left style="thin">
        <color rgb="FF3F3F3F"/>
      </left>
      <right style="thin">
        <color rgb="FF3F3F3F"/>
      </right>
      <top style="thin">
        <color rgb="FF3F3F3F"/>
      </top>
      <bottom style="hair">
        <color indexed="64"/>
      </bottom>
      <diagonal/>
    </border>
    <border>
      <left style="thin">
        <color indexed="64"/>
      </left>
      <right style="thin">
        <color rgb="FF3F3F3F"/>
      </right>
      <top style="hair">
        <color indexed="64"/>
      </top>
      <bottom style="hair">
        <color indexed="64"/>
      </bottom>
      <diagonal/>
    </border>
    <border>
      <left style="thin">
        <color rgb="FF3F3F3F"/>
      </left>
      <right style="thin">
        <color indexed="64"/>
      </right>
      <top style="hair">
        <color indexed="64"/>
      </top>
      <bottom style="hair">
        <color indexed="64"/>
      </bottom>
      <diagonal/>
    </border>
    <border>
      <left/>
      <right/>
      <top style="thin">
        <color rgb="FF3F3F3F"/>
      </top>
      <bottom style="thin">
        <color indexed="64"/>
      </bottom>
      <diagonal/>
    </border>
    <border>
      <left style="thin">
        <color rgb="FF3F3F3F"/>
      </left>
      <right style="thin">
        <color rgb="FF3F3F3F"/>
      </right>
      <top/>
      <bottom/>
      <diagonal/>
    </border>
    <border>
      <left style="thin">
        <color rgb="FF3F3F3F"/>
      </left>
      <right/>
      <top style="hair">
        <color indexed="64"/>
      </top>
      <bottom/>
      <diagonal/>
    </border>
    <border>
      <left/>
      <right style="thin">
        <color rgb="FF3F3F3F"/>
      </right>
      <top style="hair">
        <color indexed="64"/>
      </top>
      <bottom/>
      <diagonal/>
    </border>
    <border>
      <left/>
      <right style="thin">
        <color indexed="64"/>
      </right>
      <top style="hair">
        <color indexed="64"/>
      </top>
      <bottom style="hair">
        <color indexed="64"/>
      </bottom>
      <diagonal/>
    </border>
    <border>
      <left style="thin">
        <color rgb="FF3F3F3F"/>
      </left>
      <right/>
      <top style="hair">
        <color indexed="64"/>
      </top>
      <bottom style="thin">
        <color rgb="FF3F3F3F"/>
      </bottom>
      <diagonal/>
    </border>
    <border>
      <left/>
      <right/>
      <top style="hair">
        <color indexed="64"/>
      </top>
      <bottom style="thin">
        <color rgb="FF3F3F3F"/>
      </bottom>
      <diagonal/>
    </border>
    <border>
      <left/>
      <right style="thin">
        <color rgb="FF3F3F3F"/>
      </right>
      <top style="hair">
        <color indexed="64"/>
      </top>
      <bottom style="thin">
        <color rgb="FF3F3F3F"/>
      </bottom>
      <diagonal/>
    </border>
    <border>
      <left style="thin">
        <color rgb="FF3F3F3F"/>
      </left>
      <right/>
      <top/>
      <bottom/>
      <diagonal/>
    </border>
    <border>
      <left style="thin">
        <color rgb="FF3F3F3F"/>
      </left>
      <right style="thin">
        <color rgb="FF3F3F3F"/>
      </right>
      <top/>
      <bottom style="hair">
        <color indexed="64"/>
      </bottom>
      <diagonal/>
    </border>
    <border>
      <left/>
      <right/>
      <top/>
      <bottom style="thin">
        <color rgb="FF7F7F7F"/>
      </bottom>
      <diagonal/>
    </border>
    <border>
      <left/>
      <right style="thin">
        <color indexed="64"/>
      </right>
      <top style="thin">
        <color indexed="64"/>
      </top>
      <bottom/>
      <diagonal/>
    </border>
    <border>
      <left style="double">
        <color indexed="64"/>
      </left>
      <right style="thin">
        <color indexed="64"/>
      </right>
      <top/>
      <bottom/>
      <diagonal/>
    </border>
    <border>
      <left style="thin">
        <color indexed="64"/>
      </left>
      <right style="thin">
        <color rgb="FF7F7F7F"/>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style="thin">
        <color rgb="FF3F3F3F"/>
      </right>
      <top style="thin">
        <color rgb="FF3F3F3F"/>
      </top>
      <bottom style="thin">
        <color rgb="FF3F3F3F"/>
      </bottom>
      <diagonal/>
    </border>
    <border>
      <left style="thin">
        <color rgb="FF3F3F3F"/>
      </left>
      <right style="thin">
        <color rgb="FF3F3F3F"/>
      </right>
      <top/>
      <bottom style="thin">
        <color indexed="64"/>
      </bottom>
      <diagonal/>
    </border>
    <border>
      <left/>
      <right style="thin">
        <color rgb="FF3F3F3F"/>
      </right>
      <top/>
      <bottom style="thin">
        <color indexed="64"/>
      </bottom>
      <diagonal/>
    </border>
    <border>
      <left/>
      <right style="hair">
        <color indexed="64"/>
      </right>
      <top style="hair">
        <color indexed="64"/>
      </top>
      <bottom style="hair">
        <color indexed="64"/>
      </bottom>
      <diagonal/>
    </border>
    <border>
      <left style="thin">
        <color rgb="FF3F3F3F"/>
      </left>
      <right/>
      <top style="thin">
        <color rgb="FF3F3F3F"/>
      </top>
      <bottom style="thin">
        <color indexed="64"/>
      </bottom>
      <diagonal/>
    </border>
    <border>
      <left/>
      <right style="thin">
        <color rgb="FF3F3F3F"/>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style="thin">
        <color indexed="64"/>
      </left>
      <right/>
      <top style="thin">
        <color rgb="FF3F3F3F"/>
      </top>
      <bottom style="thin">
        <color indexed="64"/>
      </bottom>
      <diagonal/>
    </border>
    <border>
      <left/>
      <right style="thin">
        <color indexed="64"/>
      </right>
      <top style="thick">
        <color theme="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style="medium">
        <color indexed="64"/>
      </top>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right/>
      <top style="double">
        <color rgb="FFFF8001"/>
      </top>
      <bottom/>
      <diagonal/>
    </border>
    <border>
      <left/>
      <right style="hair">
        <color indexed="64"/>
      </right>
      <top/>
      <bottom/>
      <diagonal/>
    </border>
    <border>
      <left/>
      <right style="hair">
        <color indexed="64"/>
      </right>
      <top/>
      <bottom style="double">
        <color rgb="FFFF8001"/>
      </bottom>
      <diagonal/>
    </border>
    <border>
      <left/>
      <right style="hair">
        <color indexed="64"/>
      </right>
      <top style="medium">
        <color indexed="64"/>
      </top>
      <bottom style="double">
        <color rgb="FFFF8001"/>
      </bottom>
      <diagonal/>
    </border>
    <border>
      <left/>
      <right style="double">
        <color indexed="64"/>
      </right>
      <top/>
      <bottom style="thin">
        <color rgb="FF7F7F7F"/>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ck">
        <color theme="4"/>
      </top>
      <bottom style="thin">
        <color indexed="64"/>
      </bottom>
      <diagonal/>
    </border>
    <border>
      <left/>
      <right style="thin">
        <color rgb="FF7F7F7F"/>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rgb="FF3F3F3F"/>
      </right>
      <top/>
      <bottom style="hair">
        <color indexed="64"/>
      </bottom>
      <diagonal/>
    </border>
    <border>
      <left style="double">
        <color indexed="64"/>
      </left>
      <right/>
      <top style="medium">
        <color theme="4" tint="0.39997558519241921"/>
      </top>
      <bottom/>
      <diagonal/>
    </border>
    <border>
      <left style="double">
        <color indexed="64"/>
      </left>
      <right style="double">
        <color indexed="64"/>
      </right>
      <top style="thin">
        <color indexed="64"/>
      </top>
      <bottom style="medium">
        <color indexed="64"/>
      </bottom>
      <diagonal/>
    </border>
    <border>
      <left/>
      <right/>
      <top style="thick">
        <color theme="4" tint="0.499984740745262"/>
      </top>
      <bottom style="medium">
        <color indexed="64"/>
      </bottom>
      <diagonal/>
    </border>
    <border>
      <left style="thin">
        <color indexed="64"/>
      </left>
      <right style="double">
        <color indexed="64"/>
      </right>
      <top style="thin">
        <color indexed="64"/>
      </top>
      <bottom style="thin">
        <color indexed="64"/>
      </bottom>
      <diagonal/>
    </border>
    <border>
      <left/>
      <right/>
      <top style="thin">
        <color rgb="FF7F7F7F"/>
      </top>
      <bottom style="medium">
        <color indexed="64"/>
      </bottom>
      <diagonal/>
    </border>
    <border>
      <left/>
      <right style="double">
        <color indexed="64"/>
      </right>
      <top style="thin">
        <color rgb="FF3F3F3F"/>
      </top>
      <bottom style="thin">
        <color rgb="FF3F3F3F"/>
      </bottom>
      <diagonal/>
    </border>
    <border>
      <left style="thin">
        <color rgb="FF3F3F3F"/>
      </left>
      <right style="thin">
        <color indexed="64"/>
      </right>
      <top/>
      <bottom style="thin">
        <color indexed="64"/>
      </bottom>
      <diagonal/>
    </border>
    <border>
      <left/>
      <right style="double">
        <color indexed="64"/>
      </right>
      <top style="thin">
        <color rgb="FF3F3F3F"/>
      </top>
      <bottom style="thin">
        <color indexed="64"/>
      </bottom>
      <diagonal/>
    </border>
    <border>
      <left/>
      <right style="double">
        <color indexed="64"/>
      </right>
      <top/>
      <bottom style="thin">
        <color rgb="FF3F3F3F"/>
      </bottom>
      <diagonal/>
    </border>
    <border>
      <left style="thin">
        <color rgb="FF7F7F7F"/>
      </left>
      <right style="thin">
        <color rgb="FF7F7F7F"/>
      </right>
      <top/>
      <bottom style="medium">
        <color indexed="64"/>
      </bottom>
      <diagonal/>
    </border>
    <border>
      <left style="thin">
        <color rgb="FF7F7F7F"/>
      </left>
      <right style="double">
        <color indexed="64"/>
      </right>
      <top style="thin">
        <color rgb="FF7F7F7F"/>
      </top>
      <bottom style="medium">
        <color indexed="64"/>
      </bottom>
      <diagonal/>
    </border>
    <border>
      <left style="double">
        <color indexed="64"/>
      </left>
      <right style="double">
        <color indexed="64"/>
      </right>
      <top style="medium">
        <color indexed="64"/>
      </top>
      <bottom style="thin">
        <color indexed="64"/>
      </bottom>
      <diagonal/>
    </border>
    <border>
      <left/>
      <right/>
      <top style="thin">
        <color rgb="FF7F7F7F"/>
      </top>
      <bottom style="medium">
        <color theme="4" tint="0.39997558519241921"/>
      </bottom>
      <diagonal/>
    </border>
    <border>
      <left/>
      <right/>
      <top style="thin">
        <color rgb="FF3F3F3F"/>
      </top>
      <bottom style="medium">
        <color theme="4" tint="0.39997558519241921"/>
      </bottom>
      <diagonal/>
    </border>
    <border>
      <left style="thin">
        <color rgb="FF3F3F3F"/>
      </left>
      <right/>
      <top style="thin">
        <color indexed="64"/>
      </top>
      <bottom style="hair">
        <color indexed="64"/>
      </bottom>
      <diagonal/>
    </border>
    <border>
      <left/>
      <right/>
      <top style="thin">
        <color indexed="64"/>
      </top>
      <bottom style="hair">
        <color indexed="64"/>
      </bottom>
      <diagonal/>
    </border>
    <border>
      <left/>
      <right style="thin">
        <color rgb="FF3F3F3F"/>
      </right>
      <top style="thin">
        <color indexed="64"/>
      </top>
      <bottom style="hair">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indexed="64"/>
      </right>
      <top style="thin">
        <color rgb="FF3F3F3F"/>
      </top>
      <bottom style="thin">
        <color indexed="64"/>
      </bottom>
      <diagonal/>
    </border>
    <border>
      <left/>
      <right style="double">
        <color indexed="64"/>
      </right>
      <top/>
      <bottom style="medium">
        <color indexed="64"/>
      </bottom>
      <diagonal/>
    </border>
    <border>
      <left style="thin">
        <color indexed="64"/>
      </left>
      <right style="double">
        <color indexed="64"/>
      </right>
      <top/>
      <bottom style="medium">
        <color indexed="64"/>
      </bottom>
      <diagonal/>
    </border>
    <border>
      <left/>
      <right/>
      <top style="thin">
        <color rgb="FF3F3F3F"/>
      </top>
      <bottom/>
      <diagonal/>
    </border>
    <border>
      <left/>
      <right/>
      <top style="medium">
        <color indexed="64"/>
      </top>
      <bottom style="thin">
        <color rgb="FF7F7F7F"/>
      </bottom>
      <diagonal/>
    </border>
    <border>
      <left/>
      <right/>
      <top style="thick">
        <color theme="4"/>
      </top>
      <bottom style="thin">
        <color rgb="FF3F3F3F"/>
      </bottom>
      <diagonal/>
    </border>
    <border>
      <left/>
      <right/>
      <top style="thick">
        <color theme="4" tint="0.499984740745262"/>
      </top>
      <bottom style="thin">
        <color rgb="FF3F3F3F"/>
      </bottom>
      <diagonal/>
    </border>
    <border>
      <left/>
      <right/>
      <top style="thick">
        <color theme="4"/>
      </top>
      <bottom style="thin">
        <color rgb="FF7F7F7F"/>
      </bottom>
      <diagonal/>
    </border>
    <border>
      <left/>
      <right style="thin">
        <color indexed="64"/>
      </right>
      <top style="thick">
        <color theme="4"/>
      </top>
      <bottom/>
      <diagonal/>
    </border>
    <border>
      <left/>
      <right/>
      <top style="thick">
        <color theme="4" tint="0.499984740745262"/>
      </top>
      <bottom style="thin">
        <color rgb="FF7F7F7F"/>
      </bottom>
      <diagonal/>
    </border>
    <border>
      <left/>
      <right/>
      <top style="thick">
        <color theme="4" tint="0.499984740745262"/>
      </top>
      <bottom style="thin">
        <color indexed="64"/>
      </bottom>
      <diagonal/>
    </border>
    <border>
      <left style="thin">
        <color indexed="64"/>
      </left>
      <right/>
      <top style="hair">
        <color indexed="64"/>
      </top>
      <bottom style="hair">
        <color indexed="64"/>
      </bottom>
      <diagonal/>
    </border>
    <border>
      <left/>
      <right/>
      <top style="thin">
        <color theme="4"/>
      </top>
      <bottom style="double">
        <color theme="4"/>
      </bottom>
      <diagonal/>
    </border>
    <border>
      <left style="thin">
        <color rgb="FF3F3F3F"/>
      </left>
      <right style="thin">
        <color rgb="FF3F3F3F"/>
      </right>
      <top style="thin">
        <color rgb="FF3F3F3F"/>
      </top>
      <bottom style="medium">
        <color indexed="64"/>
      </bottom>
      <diagonal/>
    </border>
    <border>
      <left style="thin">
        <color rgb="FF3F3F3F"/>
      </left>
      <right style="thin">
        <color rgb="FF3F3F3F"/>
      </right>
      <top style="medium">
        <color indexed="64"/>
      </top>
      <bottom style="thin">
        <color rgb="FF3F3F3F"/>
      </bottom>
      <diagonal/>
    </border>
    <border>
      <left style="thin">
        <color indexed="64"/>
      </left>
      <right style="thin">
        <color indexed="64"/>
      </right>
      <top/>
      <bottom style="medium">
        <color indexed="64"/>
      </bottom>
      <diagonal/>
    </border>
    <border>
      <left style="thin">
        <color rgb="FF3F3F3F"/>
      </left>
      <right style="thin">
        <color rgb="FF3F3F3F"/>
      </right>
      <top/>
      <bottom style="medium">
        <color indexed="64"/>
      </bottom>
      <diagonal/>
    </border>
    <border>
      <left style="thin">
        <color indexed="64"/>
      </left>
      <right style="thin">
        <color indexed="64"/>
      </right>
      <top/>
      <bottom/>
      <diagonal/>
    </border>
    <border>
      <left style="thin">
        <color indexed="64"/>
      </left>
      <right style="thin">
        <color rgb="FF7F7F7F"/>
      </right>
      <top style="thin">
        <color indexed="64"/>
      </top>
      <bottom style="thin">
        <color indexed="64"/>
      </bottom>
      <diagonal/>
    </border>
    <border>
      <left style="thin">
        <color indexed="64"/>
      </left>
      <right/>
      <top style="medium">
        <color theme="4" tint="0.39997558519241921"/>
      </top>
      <bottom style="thin">
        <color indexed="64"/>
      </bottom>
      <diagonal/>
    </border>
    <border>
      <left/>
      <right/>
      <top style="medium">
        <color theme="4" tint="0.39997558519241921"/>
      </top>
      <bottom style="thin">
        <color indexed="64"/>
      </bottom>
      <diagonal/>
    </border>
    <border>
      <left/>
      <right style="thin">
        <color indexed="64"/>
      </right>
      <top style="medium">
        <color theme="4" tint="0.39997558519241921"/>
      </top>
      <bottom style="thin">
        <color indexed="64"/>
      </bottom>
      <diagonal/>
    </border>
    <border>
      <left style="thin">
        <color rgb="FF7F7F7F"/>
      </left>
      <right style="double">
        <color indexed="64"/>
      </right>
      <top style="thin">
        <color rgb="FF7F7F7F"/>
      </top>
      <bottom style="thin">
        <color rgb="FF7F7F7F"/>
      </bottom>
      <diagonal/>
    </border>
    <border>
      <left style="thin">
        <color rgb="FF7F7F7F"/>
      </left>
      <right style="double">
        <color indexed="64"/>
      </right>
      <top style="thin">
        <color rgb="FF7F7F7F"/>
      </top>
      <bottom/>
      <diagonal/>
    </border>
    <border>
      <left style="thin">
        <color rgb="FF7F7F7F"/>
      </left>
      <right style="double">
        <color indexed="64"/>
      </right>
      <top style="medium">
        <color indexed="64"/>
      </top>
      <bottom style="thin">
        <color rgb="FF7F7F7F"/>
      </bottom>
      <diagonal/>
    </border>
    <border>
      <left/>
      <right style="double">
        <color indexed="64"/>
      </right>
      <top style="thick">
        <color theme="4"/>
      </top>
      <bottom style="medium">
        <color indexed="64"/>
      </bottom>
      <diagonal/>
    </border>
    <border>
      <left/>
      <right style="double">
        <color indexed="64"/>
      </right>
      <top/>
      <bottom style="thick">
        <color theme="4"/>
      </bottom>
      <diagonal/>
    </border>
    <border>
      <left/>
      <right style="double">
        <color indexed="64"/>
      </right>
      <top/>
      <bottom style="medium">
        <color theme="4" tint="0.39997558519241921"/>
      </bottom>
      <diagonal/>
    </border>
    <border>
      <left/>
      <right style="double">
        <color indexed="64"/>
      </right>
      <top/>
      <bottom style="thick">
        <color theme="4" tint="0.499984740745262"/>
      </bottom>
      <diagonal/>
    </border>
    <border>
      <left/>
      <right style="double">
        <color indexed="64"/>
      </right>
      <top style="thick">
        <color theme="4"/>
      </top>
      <bottom style="thin">
        <color indexed="64"/>
      </bottom>
      <diagonal/>
    </border>
    <border>
      <left style="double">
        <color indexed="64"/>
      </left>
      <right style="double">
        <color indexed="64"/>
      </right>
      <top style="double">
        <color indexed="64"/>
      </top>
      <bottom/>
      <diagonal/>
    </border>
    <border>
      <left/>
      <right style="double">
        <color indexed="64"/>
      </right>
      <top style="thick">
        <color theme="4"/>
      </top>
      <bottom style="thin">
        <color rgb="FF3F3F3F"/>
      </bottom>
      <diagonal/>
    </border>
    <border>
      <left/>
      <right style="double">
        <color indexed="64"/>
      </right>
      <top style="thin">
        <color rgb="FF3F3F3F"/>
      </top>
      <bottom/>
      <diagonal/>
    </border>
    <border>
      <left style="double">
        <color indexed="64"/>
      </left>
      <right/>
      <top style="thin">
        <color indexed="64"/>
      </top>
      <bottom style="thin">
        <color indexed="64"/>
      </bottom>
      <diagonal/>
    </border>
    <border>
      <left/>
      <right style="double">
        <color indexed="64"/>
      </right>
      <top style="thin">
        <color rgb="FF3F3F3F"/>
      </top>
      <bottom style="medium">
        <color theme="4" tint="0.39997558519241921"/>
      </bottom>
      <diagonal/>
    </border>
    <border>
      <left/>
      <right/>
      <top style="thin">
        <color rgb="FF7F7F7F"/>
      </top>
      <bottom/>
      <diagonal/>
    </border>
    <border>
      <left/>
      <right style="thin">
        <color rgb="FF7F7F7F"/>
      </right>
      <top style="medium">
        <color indexed="64"/>
      </top>
      <bottom style="thin">
        <color rgb="FF7F7F7F"/>
      </bottom>
      <diagonal/>
    </border>
    <border>
      <left/>
      <right style="thin">
        <color rgb="FF7F7F7F"/>
      </right>
      <top style="thin">
        <color indexed="64"/>
      </top>
      <bottom style="thin">
        <color rgb="FF7F7F7F"/>
      </bottom>
      <diagonal/>
    </border>
  </borders>
  <cellStyleXfs count="41">
    <xf numFmtId="0" fontId="0"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2" fillId="2" borderId="1" applyNumberFormat="0" applyFon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2" fillId="6" borderId="0" applyNumberFormat="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44" fontId="13" fillId="0" borderId="0" applyFont="0" applyFill="0" applyBorder="0" applyAlignment="0" applyProtection="0"/>
    <xf numFmtId="0" fontId="14" fillId="0" borderId="6" applyNumberFormat="0" applyFill="0" applyAlignment="0" applyProtection="0"/>
    <xf numFmtId="0" fontId="27" fillId="0" borderId="31" applyNumberFormat="0" applyFill="0" applyAlignment="0" applyProtection="0"/>
    <xf numFmtId="0" fontId="28" fillId="0" borderId="32" applyNumberFormat="0" applyFill="0" applyAlignment="0" applyProtection="0"/>
    <xf numFmtId="0" fontId="29" fillId="14" borderId="33" applyNumberFormat="0" applyAlignment="0" applyProtection="0"/>
    <xf numFmtId="0" fontId="30" fillId="15" borderId="34" applyNumberFormat="0" applyAlignment="0" applyProtection="0"/>
    <xf numFmtId="0" fontId="31" fillId="15" borderId="33" applyNumberFormat="0" applyAlignment="0" applyProtection="0"/>
    <xf numFmtId="0" fontId="32" fillId="0" borderId="35"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7" fillId="0" borderId="0" applyNumberFormat="0" applyFill="0" applyBorder="0" applyAlignment="0" applyProtection="0"/>
    <xf numFmtId="0" fontId="28" fillId="0" borderId="0" applyNumberFormat="0" applyFill="0" applyBorder="0" applyAlignment="0" applyProtection="0"/>
    <xf numFmtId="0" fontId="96" fillId="0" borderId="0" applyNumberFormat="0" applyFill="0" applyBorder="0" applyAlignment="0" applyProtection="0"/>
    <xf numFmtId="0" fontId="35" fillId="0" borderId="170" applyNumberFormat="0" applyFill="0" applyAlignment="0" applyProtection="0"/>
  </cellStyleXfs>
  <cellXfs count="951">
    <xf numFmtId="0" fontId="0" fillId="0" borderId="0" xfId="0"/>
    <xf numFmtId="0" fontId="6" fillId="0" borderId="0" xfId="0" applyFont="1"/>
    <xf numFmtId="0" fontId="5" fillId="0" borderId="0" xfId="0" applyFont="1"/>
    <xf numFmtId="0" fontId="6" fillId="0" borderId="0" xfId="0" applyFont="1" applyAlignment="1">
      <alignment wrapText="1"/>
    </xf>
    <xf numFmtId="0" fontId="15" fillId="0" borderId="0" xfId="18" applyFont="1" applyFill="1" applyBorder="1"/>
    <xf numFmtId="0" fontId="15" fillId="0" borderId="0" xfId="19" applyFont="1" applyFill="1" applyBorder="1"/>
    <xf numFmtId="0" fontId="17" fillId="0" borderId="0" xfId="0" applyFont="1"/>
    <xf numFmtId="0" fontId="18" fillId="0" borderId="0" xfId="0" applyFont="1"/>
    <xf numFmtId="0" fontId="0" fillId="0" borderId="10" xfId="0" applyBorder="1"/>
    <xf numFmtId="0" fontId="0" fillId="0" borderId="0" xfId="0" applyAlignment="1">
      <alignment wrapText="1"/>
    </xf>
    <xf numFmtId="0" fontId="23" fillId="0" borderId="0" xfId="0" applyFont="1"/>
    <xf numFmtId="0" fontId="24" fillId="0" borderId="0" xfId="0" applyFont="1"/>
    <xf numFmtId="0" fontId="25" fillId="0" borderId="0" xfId="0" applyFont="1"/>
    <xf numFmtId="0" fontId="26" fillId="0" borderId="0" xfId="0" applyFont="1"/>
    <xf numFmtId="0" fontId="22" fillId="0" borderId="0" xfId="0" applyFont="1"/>
    <xf numFmtId="6" fontId="19" fillId="0" borderId="0" xfId="0" applyNumberFormat="1" applyFont="1"/>
    <xf numFmtId="165" fontId="6" fillId="0" borderId="0" xfId="0" applyNumberFormat="1" applyFont="1" applyAlignment="1">
      <alignment wrapText="1"/>
    </xf>
    <xf numFmtId="6" fontId="19" fillId="0" borderId="0" xfId="0" applyNumberFormat="1" applyFont="1" applyAlignment="1">
      <alignment wrapText="1"/>
    </xf>
    <xf numFmtId="0" fontId="5" fillId="0" borderId="2" xfId="0" applyFont="1" applyBorder="1" applyAlignment="1">
      <alignment vertical="top" wrapText="1"/>
    </xf>
    <xf numFmtId="0" fontId="32" fillId="0" borderId="35" xfId="31"/>
    <xf numFmtId="0" fontId="38" fillId="0" borderId="0" xfId="0" applyFont="1"/>
    <xf numFmtId="41" fontId="18" fillId="0" borderId="0" xfId="0" applyNumberFormat="1" applyFont="1"/>
    <xf numFmtId="10" fontId="18" fillId="0" borderId="0" xfId="1" applyNumberFormat="1" applyFont="1" applyFill="1" applyBorder="1"/>
    <xf numFmtId="0" fontId="18" fillId="0" borderId="21" xfId="0" applyFont="1" applyBorder="1"/>
    <xf numFmtId="0" fontId="18" fillId="0" borderId="0" xfId="0" applyFont="1" applyAlignment="1">
      <alignment wrapText="1"/>
    </xf>
    <xf numFmtId="41" fontId="17" fillId="0" borderId="0" xfId="0" applyNumberFormat="1" applyFont="1"/>
    <xf numFmtId="41" fontId="30" fillId="15" borderId="34" xfId="29" applyNumberFormat="1" applyAlignment="1">
      <alignment horizontal="right"/>
    </xf>
    <xf numFmtId="41" fontId="30" fillId="15" borderId="34" xfId="29" applyNumberFormat="1"/>
    <xf numFmtId="0" fontId="18" fillId="0" borderId="8" xfId="0" applyFont="1" applyBorder="1"/>
    <xf numFmtId="41" fontId="31" fillId="15" borderId="33" xfId="30" applyNumberFormat="1" applyAlignment="1">
      <alignment horizontal="right"/>
    </xf>
    <xf numFmtId="0" fontId="15" fillId="0" borderId="0" xfId="0" applyFont="1"/>
    <xf numFmtId="0" fontId="15" fillId="0" borderId="22" xfId="0" applyFont="1" applyBorder="1"/>
    <xf numFmtId="0" fontId="32" fillId="11" borderId="35" xfId="31" applyFill="1" applyAlignment="1">
      <alignment vertical="top" wrapText="1"/>
    </xf>
    <xf numFmtId="41" fontId="18" fillId="8" borderId="2" xfId="0" applyNumberFormat="1" applyFont="1" applyFill="1" applyBorder="1" applyAlignment="1">
      <alignment horizontal="right"/>
    </xf>
    <xf numFmtId="1" fontId="32" fillId="15" borderId="35" xfId="31" applyNumberFormat="1" applyFill="1" applyAlignment="1">
      <alignment horizontal="center"/>
    </xf>
    <xf numFmtId="1" fontId="43" fillId="0" borderId="22" xfId="0" applyNumberFormat="1" applyFont="1" applyBorder="1" applyAlignment="1">
      <alignment horizontal="center"/>
    </xf>
    <xf numFmtId="0" fontId="41" fillId="0" borderId="22" xfId="0" applyFont="1" applyBorder="1"/>
    <xf numFmtId="41" fontId="31" fillId="15" borderId="33" xfId="30" applyNumberFormat="1" applyAlignment="1">
      <alignment horizontal="center"/>
    </xf>
    <xf numFmtId="1" fontId="43" fillId="0" borderId="0" xfId="0" applyNumberFormat="1" applyFont="1" applyAlignment="1">
      <alignment horizontal="center"/>
    </xf>
    <xf numFmtId="0" fontId="18" fillId="7" borderId="0" xfId="16" applyFont="1" applyFill="1" applyBorder="1" applyAlignment="1"/>
    <xf numFmtId="41" fontId="18" fillId="0" borderId="8" xfId="0" applyNumberFormat="1" applyFont="1" applyBorder="1"/>
    <xf numFmtId="0" fontId="34" fillId="0" borderId="0" xfId="33" applyBorder="1" applyAlignment="1">
      <alignment wrapText="1"/>
    </xf>
    <xf numFmtId="6" fontId="42" fillId="0" borderId="0" xfId="0" applyNumberFormat="1" applyFont="1"/>
    <xf numFmtId="165" fontId="34" fillId="0" borderId="22" xfId="33" applyNumberFormat="1" applyBorder="1" applyAlignment="1">
      <alignment wrapText="1"/>
    </xf>
    <xf numFmtId="6" fontId="42" fillId="0" borderId="22" xfId="0" applyNumberFormat="1" applyFont="1" applyBorder="1" applyAlignment="1">
      <alignment wrapText="1"/>
    </xf>
    <xf numFmtId="165" fontId="34" fillId="0" borderId="0" xfId="33" applyNumberFormat="1" applyBorder="1" applyAlignment="1">
      <alignment wrapText="1"/>
    </xf>
    <xf numFmtId="6" fontId="42" fillId="0" borderId="0" xfId="0" applyNumberFormat="1" applyFont="1" applyAlignment="1">
      <alignment wrapText="1"/>
    </xf>
    <xf numFmtId="9" fontId="18" fillId="0" borderId="0" xfId="0" applyNumberFormat="1" applyFont="1"/>
    <xf numFmtId="10" fontId="18" fillId="0" borderId="0" xfId="0" applyNumberFormat="1" applyFont="1"/>
    <xf numFmtId="0" fontId="34" fillId="0" borderId="0" xfId="33" applyFill="1" applyBorder="1"/>
    <xf numFmtId="1" fontId="32" fillId="0" borderId="35" xfId="31" applyNumberFormat="1" applyFill="1" applyAlignment="1">
      <alignment horizontal="center"/>
    </xf>
    <xf numFmtId="41" fontId="46" fillId="0" borderId="0" xfId="16" applyNumberFormat="1" applyFont="1" applyFill="1" applyBorder="1" applyAlignment="1">
      <alignment wrapText="1"/>
    </xf>
    <xf numFmtId="41" fontId="49" fillId="9" borderId="0" xfId="0" applyNumberFormat="1" applyFont="1" applyFill="1"/>
    <xf numFmtId="0" fontId="50" fillId="0" borderId="0" xfId="0" applyFont="1" applyAlignment="1">
      <alignment wrapText="1"/>
    </xf>
    <xf numFmtId="0" fontId="50" fillId="0" borderId="0" xfId="0" applyFont="1"/>
    <xf numFmtId="41" fontId="49" fillId="0" borderId="0" xfId="0" applyNumberFormat="1" applyFont="1"/>
    <xf numFmtId="0" fontId="50" fillId="0" borderId="0" xfId="0" applyFont="1" applyAlignment="1">
      <alignment horizontal="center"/>
    </xf>
    <xf numFmtId="0" fontId="50" fillId="0" borderId="0" xfId="0" applyFont="1" applyAlignment="1" applyProtection="1">
      <alignment horizontal="center" wrapText="1"/>
      <protection locked="0"/>
    </xf>
    <xf numFmtId="0" fontId="49" fillId="0" borderId="0" xfId="0" applyFont="1" applyAlignment="1">
      <alignment horizontal="center"/>
    </xf>
    <xf numFmtId="0" fontId="50" fillId="0" borderId="0" xfId="0" applyFont="1" applyAlignment="1">
      <alignment horizontal="center" wrapText="1"/>
    </xf>
    <xf numFmtId="0" fontId="50" fillId="0" borderId="36" xfId="0" applyFont="1" applyBorder="1" applyAlignment="1">
      <alignment horizontal="center" wrapText="1"/>
    </xf>
    <xf numFmtId="0" fontId="50" fillId="0" borderId="37" xfId="0" applyFont="1" applyBorder="1" applyAlignment="1">
      <alignment wrapText="1"/>
    </xf>
    <xf numFmtId="0" fontId="50" fillId="0" borderId="37" xfId="0" applyFont="1" applyBorder="1" applyAlignment="1">
      <alignment horizontal="center" wrapText="1"/>
    </xf>
    <xf numFmtId="0" fontId="50" fillId="0" borderId="2" xfId="0" applyFont="1" applyBorder="1"/>
    <xf numFmtId="0" fontId="50" fillId="0" borderId="2" xfId="0" applyFont="1" applyBorder="1" applyAlignment="1">
      <alignment horizontal="center" wrapText="1"/>
    </xf>
    <xf numFmtId="41" fontId="51" fillId="0" borderId="0" xfId="0" applyNumberFormat="1" applyFont="1"/>
    <xf numFmtId="41" fontId="49" fillId="0" borderId="0" xfId="16" applyNumberFormat="1" applyFont="1" applyFill="1" applyBorder="1" applyAlignment="1">
      <alignment wrapText="1"/>
    </xf>
    <xf numFmtId="0" fontId="45" fillId="0" borderId="0" xfId="33" applyFont="1" applyAlignment="1">
      <alignment vertical="center" wrapText="1"/>
    </xf>
    <xf numFmtId="41" fontId="30" fillId="15" borderId="2" xfId="29" applyNumberFormat="1" applyBorder="1" applyAlignment="1">
      <alignment horizontal="right"/>
    </xf>
    <xf numFmtId="41" fontId="30" fillId="15" borderId="53" xfId="29" applyNumberFormat="1" applyBorder="1"/>
    <xf numFmtId="41" fontId="30" fillId="15" borderId="55" xfId="29" applyNumberFormat="1" applyBorder="1"/>
    <xf numFmtId="41" fontId="18" fillId="11" borderId="55" xfId="0" applyNumberFormat="1" applyFont="1" applyFill="1" applyBorder="1"/>
    <xf numFmtId="41" fontId="31" fillId="15" borderId="58" xfId="30" applyNumberFormat="1" applyBorder="1"/>
    <xf numFmtId="167" fontId="30" fillId="15" borderId="61" xfId="29" applyNumberFormat="1" applyBorder="1"/>
    <xf numFmtId="167" fontId="30" fillId="15" borderId="60" xfId="29" applyNumberFormat="1" applyBorder="1"/>
    <xf numFmtId="167" fontId="31" fillId="15" borderId="70" xfId="30" applyNumberFormat="1" applyBorder="1"/>
    <xf numFmtId="167" fontId="31" fillId="15" borderId="75" xfId="30" applyNumberFormat="1" applyBorder="1"/>
    <xf numFmtId="0" fontId="20" fillId="0" borderId="22" xfId="18" applyFont="1" applyFill="1" applyBorder="1"/>
    <xf numFmtId="0" fontId="34" fillId="0" borderId="22" xfId="33" applyFill="1" applyBorder="1"/>
    <xf numFmtId="0" fontId="20" fillId="0" borderId="22" xfId="19" applyFont="1" applyFill="1" applyBorder="1"/>
    <xf numFmtId="0" fontId="15" fillId="0" borderId="22" xfId="18" applyFont="1" applyFill="1" applyBorder="1" applyAlignment="1"/>
    <xf numFmtId="10" fontId="18" fillId="0" borderId="22" xfId="1" applyNumberFormat="1" applyFont="1" applyFill="1" applyBorder="1"/>
    <xf numFmtId="0" fontId="15" fillId="0" borderId="22" xfId="19" applyFont="1" applyFill="1" applyBorder="1" applyAlignment="1"/>
    <xf numFmtId="10" fontId="31" fillId="20" borderId="78" xfId="30" applyNumberFormat="1" applyFill="1" applyBorder="1" applyAlignment="1">
      <alignment wrapText="1"/>
    </xf>
    <xf numFmtId="167" fontId="1" fillId="20" borderId="76" xfId="36" applyNumberFormat="1" applyFill="1" applyBorder="1" applyAlignment="1">
      <alignment wrapText="1"/>
    </xf>
    <xf numFmtId="0" fontId="55" fillId="0" borderId="0" xfId="0" applyFont="1" applyAlignment="1">
      <alignment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34" fillId="0" borderId="0" xfId="33"/>
    <xf numFmtId="0" fontId="34" fillId="0" borderId="0" xfId="33" applyAlignment="1">
      <alignment wrapText="1"/>
    </xf>
    <xf numFmtId="0" fontId="58" fillId="0" borderId="0" xfId="33" applyFont="1"/>
    <xf numFmtId="0" fontId="45" fillId="0" borderId="0" xfId="33" applyFont="1" applyAlignment="1">
      <alignment wrapText="1"/>
    </xf>
    <xf numFmtId="0" fontId="59" fillId="0" borderId="0" xfId="33" applyFont="1" applyAlignment="1">
      <alignment wrapText="1"/>
    </xf>
    <xf numFmtId="0" fontId="60" fillId="0" borderId="0" xfId="33" applyFont="1"/>
    <xf numFmtId="0" fontId="61" fillId="0" borderId="0" xfId="33" applyFont="1"/>
    <xf numFmtId="0" fontId="62" fillId="0" borderId="0" xfId="33" applyFont="1"/>
    <xf numFmtId="0" fontId="60" fillId="0" borderId="0" xfId="33" applyFont="1" applyAlignment="1">
      <alignment wrapText="1"/>
    </xf>
    <xf numFmtId="0" fontId="65" fillId="15" borderId="33" xfId="30" applyFont="1" applyAlignment="1">
      <alignment wrapText="1"/>
    </xf>
    <xf numFmtId="0" fontId="66" fillId="0" borderId="35" xfId="31" applyFont="1" applyFill="1" applyAlignment="1">
      <alignment wrapText="1"/>
    </xf>
    <xf numFmtId="0" fontId="60" fillId="0" borderId="0" xfId="33" applyFont="1" applyAlignment="1">
      <alignment vertical="center"/>
    </xf>
    <xf numFmtId="0" fontId="45" fillId="0" borderId="81" xfId="33" applyFont="1" applyFill="1" applyBorder="1" applyAlignment="1">
      <alignment wrapText="1"/>
    </xf>
    <xf numFmtId="0" fontId="45" fillId="0" borderId="2" xfId="33" applyFont="1" applyFill="1" applyBorder="1"/>
    <xf numFmtId="0" fontId="45" fillId="0" borderId="26" xfId="33" applyFont="1" applyFill="1" applyBorder="1"/>
    <xf numFmtId="0" fontId="34" fillId="0" borderId="81" xfId="33" applyBorder="1" applyAlignment="1">
      <alignment wrapText="1"/>
    </xf>
    <xf numFmtId="0" fontId="34" fillId="0" borderId="2" xfId="33" applyBorder="1"/>
    <xf numFmtId="0" fontId="34" fillId="0" borderId="26" xfId="33" applyBorder="1"/>
    <xf numFmtId="0" fontId="34" fillId="0" borderId="81" xfId="33" applyBorder="1"/>
    <xf numFmtId="0" fontId="34" fillId="0" borderId="82" xfId="33" applyBorder="1" applyAlignment="1">
      <alignment wrapText="1"/>
    </xf>
    <xf numFmtId="0" fontId="34" fillId="0" borderId="25" xfId="33" applyBorder="1"/>
    <xf numFmtId="0" fontId="34" fillId="0" borderId="83" xfId="33" applyBorder="1"/>
    <xf numFmtId="0" fontId="25" fillId="0" borderId="0" xfId="0" applyFont="1" applyAlignment="1">
      <alignment horizontal="center" wrapText="1"/>
    </xf>
    <xf numFmtId="0" fontId="45" fillId="0" borderId="0" xfId="33" applyFont="1"/>
    <xf numFmtId="0" fontId="45" fillId="0" borderId="2" xfId="33" applyFont="1" applyBorder="1"/>
    <xf numFmtId="0" fontId="45" fillId="0" borderId="26" xfId="33" applyFont="1" applyBorder="1"/>
    <xf numFmtId="0" fontId="70" fillId="0" borderId="0" xfId="0" applyFont="1" applyAlignment="1">
      <alignment horizontal="left"/>
    </xf>
    <xf numFmtId="0" fontId="29" fillId="0" borderId="0" xfId="28" applyFill="1" applyBorder="1" applyAlignment="1">
      <alignment horizontal="center"/>
    </xf>
    <xf numFmtId="0" fontId="70" fillId="0" borderId="0" xfId="0" applyFont="1"/>
    <xf numFmtId="167" fontId="15" fillId="11" borderId="77" xfId="24" applyNumberFormat="1" applyFont="1" applyFill="1" applyBorder="1"/>
    <xf numFmtId="166" fontId="77" fillId="15" borderId="93" xfId="29" applyNumberFormat="1" applyFont="1" applyBorder="1" applyAlignment="1" applyProtection="1">
      <alignment horizontal="right" vertical="center"/>
    </xf>
    <xf numFmtId="166" fontId="77" fillId="15" borderId="44" xfId="29" applyNumberFormat="1" applyFont="1" applyBorder="1" applyAlignment="1" applyProtection="1">
      <alignment horizontal="right" vertical="center"/>
    </xf>
    <xf numFmtId="166" fontId="77" fillId="15" borderId="96" xfId="29" applyNumberFormat="1" applyFont="1" applyBorder="1" applyAlignment="1" applyProtection="1">
      <alignment horizontal="right" vertical="center"/>
    </xf>
    <xf numFmtId="166" fontId="77" fillId="15" borderId="94" xfId="29" applyNumberFormat="1" applyFont="1" applyBorder="1" applyAlignment="1" applyProtection="1">
      <alignment horizontal="right" vertical="center"/>
    </xf>
    <xf numFmtId="166" fontId="77" fillId="15" borderId="34" xfId="29" applyNumberFormat="1" applyFont="1" applyAlignment="1" applyProtection="1">
      <alignment horizontal="right" vertical="center"/>
    </xf>
    <xf numFmtId="9" fontId="1" fillId="11" borderId="0" xfId="36" applyNumberFormat="1" applyFill="1" applyBorder="1" applyAlignment="1" applyProtection="1">
      <alignment horizontal="right" vertical="center"/>
    </xf>
    <xf numFmtId="166" fontId="77" fillId="15" borderId="99" xfId="29" applyNumberFormat="1" applyFont="1" applyBorder="1" applyAlignment="1" applyProtection="1">
      <alignment horizontal="right" vertical="center"/>
    </xf>
    <xf numFmtId="9" fontId="1" fillId="11" borderId="104" xfId="36" applyNumberFormat="1" applyFill="1" applyBorder="1" applyAlignment="1" applyProtection="1">
      <alignment horizontal="right" vertical="center"/>
    </xf>
    <xf numFmtId="1" fontId="83" fillId="15" borderId="33" xfId="30" applyNumberFormat="1" applyFont="1"/>
    <xf numFmtId="44" fontId="83" fillId="15" borderId="33" xfId="30" applyNumberFormat="1" applyFont="1"/>
    <xf numFmtId="0" fontId="70" fillId="22" borderId="0" xfId="0" applyFont="1" applyFill="1" applyAlignment="1">
      <alignment wrapText="1"/>
    </xf>
    <xf numFmtId="0" fontId="70" fillId="12" borderId="0" xfId="0" applyFont="1" applyFill="1" applyAlignment="1">
      <alignment wrapText="1"/>
    </xf>
    <xf numFmtId="0" fontId="70" fillId="23" borderId="0" xfId="0" applyFont="1" applyFill="1" applyAlignment="1">
      <alignment wrapText="1"/>
    </xf>
    <xf numFmtId="0" fontId="87" fillId="0" borderId="0" xfId="33" applyFont="1"/>
    <xf numFmtId="0" fontId="91" fillId="0" borderId="0" xfId="0" applyFont="1" applyAlignment="1">
      <alignment horizontal="center"/>
    </xf>
    <xf numFmtId="167" fontId="79" fillId="20" borderId="119" xfId="29" applyNumberFormat="1" applyFont="1" applyFill="1" applyBorder="1" applyAlignment="1" applyProtection="1">
      <alignment horizontal="right" vertical="center"/>
    </xf>
    <xf numFmtId="0" fontId="17" fillId="0" borderId="0" xfId="0" applyFont="1" applyAlignment="1">
      <alignment wrapText="1"/>
    </xf>
    <xf numFmtId="2" fontId="31" fillId="15" borderId="33" xfId="30" applyNumberFormat="1" applyAlignment="1">
      <alignment horizontal="right" wrapText="1"/>
    </xf>
    <xf numFmtId="2" fontId="31" fillId="15" borderId="33" xfId="30" applyNumberFormat="1"/>
    <xf numFmtId="44" fontId="29" fillId="0" borderId="0" xfId="28" applyNumberFormat="1" applyFill="1" applyBorder="1" applyAlignment="1">
      <alignment horizontal="right"/>
    </xf>
    <xf numFmtId="44" fontId="29" fillId="0" borderId="0" xfId="28" applyNumberFormat="1" applyFill="1" applyBorder="1"/>
    <xf numFmtId="0" fontId="74" fillId="0" borderId="8" xfId="32" applyFont="1" applyBorder="1" applyAlignment="1">
      <alignment vertical="center" wrapText="1"/>
    </xf>
    <xf numFmtId="0" fontId="34" fillId="0" borderId="0" xfId="33" applyBorder="1" applyAlignment="1">
      <alignment horizontal="center"/>
    </xf>
    <xf numFmtId="0" fontId="0" fillId="0" borderId="4" xfId="0" applyBorder="1"/>
    <xf numFmtId="0" fontId="0" fillId="0" borderId="22" xfId="0" applyBorder="1"/>
    <xf numFmtId="0" fontId="45" fillId="0" borderId="0" xfId="33" applyFont="1" applyBorder="1" applyAlignment="1">
      <alignment wrapText="1"/>
    </xf>
    <xf numFmtId="1" fontId="34" fillId="0" borderId="0" xfId="33" applyNumberFormat="1" applyBorder="1" applyAlignment="1">
      <alignment horizontal="center"/>
    </xf>
    <xf numFmtId="168" fontId="34" fillId="0" borderId="0" xfId="33" applyNumberFormat="1" applyBorder="1" applyAlignment="1">
      <alignment horizontal="center"/>
    </xf>
    <xf numFmtId="9" fontId="34" fillId="0" borderId="0" xfId="33" applyNumberFormat="1" applyBorder="1" applyAlignment="1">
      <alignment horizontal="center"/>
    </xf>
    <xf numFmtId="9" fontId="34" fillId="0" borderId="0" xfId="33" applyNumberFormat="1" applyBorder="1" applyAlignment="1">
      <alignment horizontal="center" wrapText="1"/>
    </xf>
    <xf numFmtId="0" fontId="34" fillId="0" borderId="0" xfId="33" applyBorder="1" applyAlignment="1">
      <alignment horizontal="center" wrapText="1"/>
    </xf>
    <xf numFmtId="0" fontId="45" fillId="0" borderId="8" xfId="33" applyFont="1" applyBorder="1" applyAlignment="1">
      <alignment vertical="center" wrapText="1"/>
    </xf>
    <xf numFmtId="10" fontId="18" fillId="0" borderId="9" xfId="1" applyNumberFormat="1" applyFont="1" applyFill="1" applyBorder="1"/>
    <xf numFmtId="9" fontId="1" fillId="20" borderId="76" xfId="36" applyNumberFormat="1" applyFill="1" applyBorder="1" applyAlignment="1">
      <alignment wrapText="1"/>
    </xf>
    <xf numFmtId="170" fontId="83" fillId="15" borderId="33" xfId="30" applyNumberFormat="1" applyFont="1"/>
    <xf numFmtId="170" fontId="72" fillId="0" borderId="0" xfId="0" applyNumberFormat="1" applyFont="1"/>
    <xf numFmtId="43" fontId="18" fillId="0" borderId="0" xfId="0" applyNumberFormat="1" applyFont="1"/>
    <xf numFmtId="0" fontId="20" fillId="0" borderId="0" xfId="19" applyFont="1" applyFill="1" applyBorder="1" applyAlignment="1">
      <alignment horizontal="center"/>
    </xf>
    <xf numFmtId="0" fontId="34" fillId="0" borderId="22" xfId="33" applyFill="1" applyBorder="1" applyAlignment="1">
      <alignment horizontal="center"/>
    </xf>
    <xf numFmtId="0" fontId="20" fillId="0" borderId="0" xfId="18" applyFont="1" applyFill="1" applyBorder="1" applyAlignment="1">
      <alignment horizontal="center"/>
    </xf>
    <xf numFmtId="0" fontId="32" fillId="0" borderId="35" xfId="31" applyAlignment="1">
      <alignment horizontal="left"/>
    </xf>
    <xf numFmtId="0" fontId="18" fillId="0" borderId="0" xfId="0" applyFont="1" applyAlignment="1">
      <alignment horizontal="center"/>
    </xf>
    <xf numFmtId="0" fontId="41" fillId="0" borderId="0" xfId="0" applyFont="1" applyAlignment="1">
      <alignment horizontal="center"/>
    </xf>
    <xf numFmtId="0" fontId="32" fillId="0" borderId="129" xfId="31" applyBorder="1"/>
    <xf numFmtId="0" fontId="32" fillId="0" borderId="129" xfId="31" applyBorder="1" applyAlignment="1">
      <alignment horizontal="left"/>
    </xf>
    <xf numFmtId="0" fontId="32" fillId="0" borderId="130" xfId="31" applyBorder="1"/>
    <xf numFmtId="0" fontId="41" fillId="0" borderId="0" xfId="0" applyFont="1"/>
    <xf numFmtId="0" fontId="41" fillId="0" borderId="127" xfId="0" applyFont="1" applyBorder="1"/>
    <xf numFmtId="1" fontId="32" fillId="15" borderId="129" xfId="31" applyNumberFormat="1" applyFill="1" applyBorder="1" applyAlignment="1">
      <alignment horizontal="center"/>
    </xf>
    <xf numFmtId="1" fontId="32" fillId="15" borderId="130" xfId="31" applyNumberFormat="1" applyFill="1" applyBorder="1" applyAlignment="1">
      <alignment horizontal="center"/>
    </xf>
    <xf numFmtId="1" fontId="32" fillId="11" borderId="130" xfId="31" applyNumberFormat="1" applyFill="1" applyBorder="1" applyAlignment="1">
      <alignment horizontal="center"/>
    </xf>
    <xf numFmtId="1" fontId="32" fillId="11" borderId="129" xfId="31" applyNumberFormat="1" applyFill="1" applyBorder="1" applyAlignment="1">
      <alignment horizontal="center"/>
    </xf>
    <xf numFmtId="0" fontId="18" fillId="0" borderId="128" xfId="0" applyFont="1" applyBorder="1"/>
    <xf numFmtId="41" fontId="30" fillId="15" borderId="44" xfId="29" applyNumberFormat="1" applyBorder="1"/>
    <xf numFmtId="41" fontId="30" fillId="15" borderId="60" xfId="29" applyNumberFormat="1" applyBorder="1"/>
    <xf numFmtId="41" fontId="31" fillId="15" borderId="75" xfId="30" applyNumberFormat="1" applyBorder="1"/>
    <xf numFmtId="0" fontId="74" fillId="7" borderId="0" xfId="32" applyFont="1" applyFill="1" applyBorder="1" applyAlignment="1">
      <alignment vertical="center" wrapText="1"/>
    </xf>
    <xf numFmtId="0" fontId="74" fillId="0" borderId="42" xfId="32" applyFont="1" applyBorder="1" applyAlignment="1">
      <alignment vertical="center" wrapText="1"/>
    </xf>
    <xf numFmtId="0" fontId="74" fillId="0" borderId="0" xfId="32" applyFont="1" applyBorder="1" applyAlignment="1">
      <alignment vertical="center" wrapText="1"/>
    </xf>
    <xf numFmtId="41" fontId="6" fillId="0" borderId="0" xfId="16" applyNumberFormat="1" applyFont="1" applyFill="1" applyBorder="1" applyAlignment="1">
      <alignment wrapText="1"/>
    </xf>
    <xf numFmtId="0" fontId="94" fillId="0" borderId="8" xfId="32" applyFont="1" applyBorder="1" applyAlignment="1">
      <alignment vertical="center" wrapText="1"/>
    </xf>
    <xf numFmtId="0" fontId="18" fillId="0" borderId="7" xfId="0" applyFont="1" applyBorder="1" applyAlignment="1">
      <alignment wrapText="1"/>
    </xf>
    <xf numFmtId="0" fontId="18" fillId="0" borderId="20" xfId="0" applyFont="1" applyBorder="1" applyAlignment="1">
      <alignment wrapText="1"/>
    </xf>
    <xf numFmtId="0" fontId="18" fillId="0" borderId="10" xfId="0" applyFont="1" applyBorder="1" applyAlignment="1">
      <alignment wrapText="1"/>
    </xf>
    <xf numFmtId="0" fontId="0" fillId="0" borderId="5" xfId="0" applyBorder="1"/>
    <xf numFmtId="0" fontId="0" fillId="0" borderId="68" xfId="0" applyBorder="1"/>
    <xf numFmtId="0" fontId="17" fillId="0" borderId="47" xfId="0" applyFont="1" applyBorder="1"/>
    <xf numFmtId="0" fontId="17" fillId="0" borderId="121" xfId="0" applyFont="1" applyBorder="1"/>
    <xf numFmtId="0" fontId="5" fillId="0" borderId="16" xfId="0" applyFont="1" applyBorder="1" applyAlignment="1">
      <alignment vertical="center"/>
    </xf>
    <xf numFmtId="0" fontId="5" fillId="0" borderId="109" xfId="0" applyFont="1" applyBorder="1" applyAlignment="1">
      <alignment vertical="center"/>
    </xf>
    <xf numFmtId="0" fontId="5" fillId="0" borderId="18" xfId="0" applyFont="1" applyBorder="1" applyAlignment="1">
      <alignment vertical="center"/>
    </xf>
    <xf numFmtId="0" fontId="5" fillId="0" borderId="10" xfId="0" applyFont="1" applyBorder="1" applyAlignment="1">
      <alignment vertical="center"/>
    </xf>
    <xf numFmtId="0" fontId="5" fillId="0" borderId="122" xfId="0" applyFont="1" applyBorder="1" applyAlignment="1">
      <alignment vertical="center"/>
    </xf>
    <xf numFmtId="0" fontId="5" fillId="0" borderId="123" xfId="0" applyFont="1" applyBorder="1" applyAlignment="1">
      <alignment vertical="center"/>
    </xf>
    <xf numFmtId="0" fontId="17" fillId="0" borderId="42" xfId="0" applyFont="1" applyBorder="1"/>
    <xf numFmtId="0" fontId="5" fillId="0" borderId="3" xfId="0" applyFont="1" applyBorder="1" applyAlignment="1">
      <alignment wrapText="1"/>
    </xf>
    <xf numFmtId="0" fontId="5" fillId="0" borderId="5" xfId="0" applyFont="1" applyBorder="1" applyAlignment="1">
      <alignment wrapText="1"/>
    </xf>
    <xf numFmtId="0" fontId="5" fillId="0" borderId="18" xfId="0" applyFont="1" applyBorder="1" applyAlignment="1">
      <alignment wrapText="1"/>
    </xf>
    <xf numFmtId="0" fontId="5" fillId="0" borderId="10" xfId="0" applyFont="1" applyBorder="1" applyAlignment="1">
      <alignment wrapText="1"/>
    </xf>
    <xf numFmtId="0" fontId="44" fillId="0" borderId="3" xfId="0" applyFont="1" applyBorder="1" applyAlignment="1">
      <alignment wrapText="1"/>
    </xf>
    <xf numFmtId="0" fontId="44" fillId="0" borderId="5" xfId="0" applyFont="1" applyBorder="1" applyAlignment="1">
      <alignment wrapText="1"/>
    </xf>
    <xf numFmtId="2" fontId="31" fillId="15" borderId="46" xfId="30" applyNumberFormat="1" applyBorder="1" applyAlignment="1">
      <alignment horizontal="right" wrapText="1"/>
    </xf>
    <xf numFmtId="2" fontId="31" fillId="15" borderId="46" xfId="30" applyNumberFormat="1" applyBorder="1"/>
    <xf numFmtId="0" fontId="11" fillId="0" borderId="0" xfId="0" applyFont="1"/>
    <xf numFmtId="10" fontId="18" fillId="0" borderId="48" xfId="1" applyNumberFormat="1" applyFont="1" applyFill="1" applyBorder="1"/>
    <xf numFmtId="10" fontId="18" fillId="0" borderId="131" xfId="1" applyNumberFormat="1" applyFont="1" applyFill="1" applyBorder="1"/>
    <xf numFmtId="10" fontId="18" fillId="0" borderId="57" xfId="1" applyNumberFormat="1" applyFont="1" applyFill="1" applyBorder="1"/>
    <xf numFmtId="0" fontId="84" fillId="12" borderId="0" xfId="0" applyFont="1" applyFill="1" applyAlignment="1">
      <alignment horizontal="center"/>
    </xf>
    <xf numFmtId="44" fontId="0" fillId="0" borderId="0" xfId="24" applyFont="1" applyFill="1"/>
    <xf numFmtId="44" fontId="8" fillId="0" borderId="0" xfId="24" applyFont="1" applyFill="1"/>
    <xf numFmtId="164" fontId="95" fillId="0" borderId="2" xfId="0" applyNumberFormat="1" applyFont="1" applyBorder="1" applyAlignment="1">
      <alignment horizontal="center" wrapText="1"/>
    </xf>
    <xf numFmtId="0" fontId="73" fillId="0" borderId="0" xfId="0" applyFont="1"/>
    <xf numFmtId="0" fontId="73" fillId="0" borderId="30" xfId="0" applyFont="1" applyBorder="1"/>
    <xf numFmtId="0" fontId="33" fillId="0" borderId="0" xfId="32" applyBorder="1" applyAlignment="1">
      <alignment vertical="center" wrapText="1"/>
    </xf>
    <xf numFmtId="0" fontId="74" fillId="7" borderId="42" xfId="32" applyFont="1" applyFill="1" applyBorder="1" applyAlignment="1">
      <alignment vertical="center" wrapText="1"/>
    </xf>
    <xf numFmtId="6" fontId="42" fillId="0" borderId="22" xfId="0" applyNumberFormat="1" applyFont="1" applyBorder="1"/>
    <xf numFmtId="6" fontId="42" fillId="0" borderId="30" xfId="0" applyNumberFormat="1" applyFont="1" applyBorder="1"/>
    <xf numFmtId="0" fontId="41" fillId="0" borderId="0" xfId="2" applyFont="1" applyAlignment="1">
      <alignment wrapText="1"/>
    </xf>
    <xf numFmtId="0" fontId="0" fillId="0" borderId="67" xfId="0" applyBorder="1"/>
    <xf numFmtId="0" fontId="0" fillId="0" borderId="110" xfId="0" applyBorder="1"/>
    <xf numFmtId="0" fontId="44" fillId="0" borderId="0" xfId="0" applyFont="1" applyAlignment="1">
      <alignment wrapText="1"/>
    </xf>
    <xf numFmtId="0" fontId="0" fillId="0" borderId="8" xfId="0" applyBorder="1"/>
    <xf numFmtId="0" fontId="50" fillId="0" borderId="42" xfId="0" applyFont="1" applyBorder="1" applyAlignment="1">
      <alignment horizontal="center"/>
    </xf>
    <xf numFmtId="0" fontId="41" fillId="0" borderId="77" xfId="0" applyFont="1" applyBorder="1" applyAlignment="1">
      <alignment wrapText="1"/>
    </xf>
    <xf numFmtId="0" fontId="39" fillId="25" borderId="0" xfId="0" applyFont="1" applyFill="1" applyAlignment="1">
      <alignment wrapText="1"/>
    </xf>
    <xf numFmtId="0" fontId="39" fillId="25" borderId="0" xfId="0" applyFont="1" applyFill="1" applyAlignment="1">
      <alignment horizontal="left" wrapText="1"/>
    </xf>
    <xf numFmtId="14" fontId="39" fillId="25" borderId="0" xfId="0" applyNumberFormat="1" applyFont="1" applyFill="1" applyAlignment="1">
      <alignment wrapText="1"/>
    </xf>
    <xf numFmtId="41" fontId="39" fillId="25" borderId="0" xfId="0" applyNumberFormat="1" applyFont="1" applyFill="1" applyAlignment="1">
      <alignment horizontal="center" wrapText="1"/>
    </xf>
    <xf numFmtId="41" fontId="39" fillId="25" borderId="54" xfId="0" applyNumberFormat="1" applyFont="1" applyFill="1" applyBorder="1" applyAlignment="1">
      <alignment horizontal="center" wrapText="1"/>
    </xf>
    <xf numFmtId="0" fontId="97" fillId="26" borderId="31" xfId="26" applyFont="1" applyFill="1" applyAlignment="1">
      <alignment horizontal="left" vertical="center"/>
    </xf>
    <xf numFmtId="0" fontId="97" fillId="26" borderId="31" xfId="26" applyFont="1" applyFill="1" applyAlignment="1">
      <alignment vertical="center"/>
    </xf>
    <xf numFmtId="41" fontId="36" fillId="27" borderId="0" xfId="34" applyNumberFormat="1" applyFill="1" applyAlignment="1">
      <alignment horizontal="center" wrapText="1"/>
    </xf>
    <xf numFmtId="41" fontId="36" fillId="27" borderId="9" xfId="34" applyNumberFormat="1" applyFill="1" applyBorder="1" applyAlignment="1">
      <alignment horizontal="center" wrapText="1"/>
    </xf>
    <xf numFmtId="41" fontId="36" fillId="27" borderId="54" xfId="34" applyNumberFormat="1" applyFill="1" applyBorder="1" applyAlignment="1">
      <alignment horizontal="center" wrapText="1"/>
    </xf>
    <xf numFmtId="0" fontId="36" fillId="27" borderId="0" xfId="34" applyFill="1" applyAlignment="1">
      <alignment wrapText="1"/>
    </xf>
    <xf numFmtId="0" fontId="36" fillId="27" borderId="0" xfId="34" applyFill="1" applyAlignment="1">
      <alignment horizontal="left" wrapText="1"/>
    </xf>
    <xf numFmtId="0" fontId="36" fillId="27" borderId="9" xfId="34" applyFill="1" applyBorder="1" applyAlignment="1">
      <alignment horizontal="left" wrapText="1"/>
    </xf>
    <xf numFmtId="0" fontId="97" fillId="26" borderId="31" xfId="26" applyFont="1" applyFill="1" applyAlignment="1"/>
    <xf numFmtId="0" fontId="97" fillId="26" borderId="31" xfId="26" applyFont="1" applyFill="1" applyAlignment="1">
      <alignment horizontal="left"/>
    </xf>
    <xf numFmtId="167" fontId="97" fillId="26" borderId="31" xfId="26" applyNumberFormat="1" applyFont="1" applyFill="1"/>
    <xf numFmtId="167" fontId="53" fillId="19" borderId="8" xfId="24" applyNumberFormat="1" applyFont="1" applyFill="1" applyBorder="1" applyAlignment="1">
      <alignment wrapText="1"/>
    </xf>
    <xf numFmtId="41" fontId="50" fillId="0" borderId="139" xfId="0" applyNumberFormat="1" applyFont="1" applyBorder="1" applyAlignment="1">
      <alignment wrapText="1"/>
    </xf>
    <xf numFmtId="41" fontId="30" fillId="28" borderId="34" xfId="29" applyNumberFormat="1" applyFill="1" applyAlignment="1">
      <alignment horizontal="right"/>
    </xf>
    <xf numFmtId="41" fontId="30" fillId="28" borderId="2" xfId="29" applyNumberFormat="1" applyFill="1" applyBorder="1" applyAlignment="1">
      <alignment horizontal="right"/>
    </xf>
    <xf numFmtId="41" fontId="30" fillId="28" borderId="23" xfId="29" applyNumberFormat="1" applyFill="1" applyBorder="1"/>
    <xf numFmtId="41" fontId="18" fillId="28" borderId="2" xfId="0" applyNumberFormat="1" applyFont="1" applyFill="1" applyBorder="1" applyAlignment="1">
      <alignment horizontal="right"/>
    </xf>
    <xf numFmtId="41" fontId="18" fillId="28" borderId="55" xfId="0" applyNumberFormat="1" applyFont="1" applyFill="1" applyBorder="1"/>
    <xf numFmtId="41" fontId="30" fillId="28" borderId="55" xfId="29" applyNumberFormat="1" applyFill="1" applyBorder="1"/>
    <xf numFmtId="41" fontId="30" fillId="28" borderId="2" xfId="29" applyNumberFormat="1" applyFill="1" applyBorder="1"/>
    <xf numFmtId="41" fontId="30" fillId="28" borderId="53" xfId="29" applyNumberFormat="1" applyFill="1" applyBorder="1"/>
    <xf numFmtId="41" fontId="31" fillId="28" borderId="2" xfId="30" applyNumberFormat="1" applyFill="1" applyBorder="1" applyAlignment="1">
      <alignment horizontal="center"/>
    </xf>
    <xf numFmtId="41" fontId="31" fillId="28" borderId="58" xfId="30" applyNumberFormat="1" applyFill="1" applyBorder="1" applyAlignment="1">
      <alignment horizontal="center"/>
    </xf>
    <xf numFmtId="41" fontId="52" fillId="28" borderId="53" xfId="29" applyNumberFormat="1" applyFont="1" applyFill="1" applyBorder="1"/>
    <xf numFmtId="44" fontId="18" fillId="28" borderId="51" xfId="24" applyFont="1" applyFill="1" applyBorder="1"/>
    <xf numFmtId="167" fontId="31" fillId="28" borderId="70" xfId="30" applyNumberFormat="1" applyFill="1" applyBorder="1"/>
    <xf numFmtId="167" fontId="31" fillId="28" borderId="75" xfId="30" applyNumberFormat="1" applyFill="1" applyBorder="1"/>
    <xf numFmtId="0" fontId="16" fillId="28" borderId="77" xfId="35" applyFont="1" applyFill="1" applyBorder="1" applyAlignment="1">
      <alignment horizontal="left" wrapText="1"/>
    </xf>
    <xf numFmtId="0" fontId="1" fillId="28" borderId="77" xfId="35" applyFill="1" applyBorder="1" applyAlignment="1">
      <alignment horizontal="left" wrapText="1"/>
    </xf>
    <xf numFmtId="167" fontId="1" fillId="28" borderId="77" xfId="35" applyNumberFormat="1" applyFill="1" applyBorder="1"/>
    <xf numFmtId="167" fontId="100" fillId="28" borderId="62" xfId="28" applyNumberFormat="1" applyFont="1" applyFill="1" applyBorder="1"/>
    <xf numFmtId="0" fontId="17" fillId="29" borderId="0" xfId="0" applyFont="1" applyFill="1" applyAlignment="1">
      <alignment wrapText="1"/>
    </xf>
    <xf numFmtId="41" fontId="29" fillId="31" borderId="33" xfId="28" applyNumberFormat="1" applyFill="1" applyAlignment="1">
      <alignment horizontal="right" wrapText="1"/>
    </xf>
    <xf numFmtId="0" fontId="29" fillId="31" borderId="33" xfId="28" applyFill="1" applyAlignment="1">
      <alignment horizontal="right" wrapText="1"/>
    </xf>
    <xf numFmtId="0" fontId="29" fillId="31" borderId="39" xfId="28" applyFill="1" applyBorder="1" applyAlignment="1">
      <alignment horizontal="right" wrapText="1"/>
    </xf>
    <xf numFmtId="0" fontId="29" fillId="31" borderId="125" xfId="28" applyFill="1" applyBorder="1" applyAlignment="1">
      <alignment horizontal="right" wrapText="1"/>
    </xf>
    <xf numFmtId="0" fontId="29" fillId="31" borderId="126" xfId="28" applyFill="1" applyBorder="1" applyAlignment="1">
      <alignment horizontal="right" wrapText="1"/>
    </xf>
    <xf numFmtId="1" fontId="29" fillId="31" borderId="33" xfId="28" applyNumberFormat="1" applyFill="1" applyAlignment="1">
      <alignment horizontal="right" wrapText="1"/>
    </xf>
    <xf numFmtId="0" fontId="29" fillId="31" borderId="33" xfId="28" applyFill="1"/>
    <xf numFmtId="44" fontId="29" fillId="31" borderId="33" xfId="28" applyNumberFormat="1" applyFill="1" applyAlignment="1">
      <alignment horizontal="right"/>
    </xf>
    <xf numFmtId="2" fontId="29" fillId="31" borderId="33" xfId="28" applyNumberFormat="1" applyFill="1" applyAlignment="1">
      <alignment horizontal="right" wrapText="1"/>
    </xf>
    <xf numFmtId="41" fontId="29" fillId="31" borderId="33" xfId="28" applyNumberFormat="1" applyFill="1" applyAlignment="1">
      <alignment horizontal="right"/>
    </xf>
    <xf numFmtId="10" fontId="29" fillId="31" borderId="33" xfId="28" applyNumberFormat="1" applyFill="1" applyAlignment="1">
      <alignment horizontal="right" wrapText="1"/>
    </xf>
    <xf numFmtId="10" fontId="29" fillId="31" borderId="33" xfId="28" applyNumberFormat="1" applyFill="1" applyAlignment="1" applyProtection="1">
      <alignment horizontal="right"/>
    </xf>
    <xf numFmtId="10" fontId="29" fillId="31" borderId="33" xfId="28" applyNumberFormat="1" applyFill="1" applyAlignment="1">
      <alignment horizontal="right"/>
    </xf>
    <xf numFmtId="41" fontId="29" fillId="31" borderId="70" xfId="28" applyNumberFormat="1" applyFill="1" applyBorder="1" applyAlignment="1">
      <alignment horizontal="center"/>
    </xf>
    <xf numFmtId="10" fontId="29" fillId="31" borderId="2" xfId="28" applyNumberFormat="1" applyFill="1" applyBorder="1" applyAlignment="1" applyProtection="1">
      <alignment horizontal="right"/>
    </xf>
    <xf numFmtId="10" fontId="29" fillId="31" borderId="39" xfId="28" applyNumberFormat="1" applyFill="1" applyBorder="1" applyAlignment="1" applyProtection="1">
      <alignment horizontal="right"/>
    </xf>
    <xf numFmtId="41" fontId="29" fillId="31" borderId="33" xfId="28" applyNumberFormat="1" applyFill="1"/>
    <xf numFmtId="167" fontId="29" fillId="31" borderId="33" xfId="28" applyNumberFormat="1" applyFill="1"/>
    <xf numFmtId="167" fontId="29" fillId="31" borderId="46" xfId="28" applyNumberFormat="1" applyFill="1" applyBorder="1"/>
    <xf numFmtId="167" fontId="29" fillId="31" borderId="69" xfId="28" applyNumberFormat="1" applyFill="1" applyBorder="1"/>
    <xf numFmtId="167" fontId="29" fillId="31" borderId="70" xfId="28" applyNumberFormat="1" applyFill="1" applyBorder="1"/>
    <xf numFmtId="167" fontId="29" fillId="31" borderId="50" xfId="28" applyNumberFormat="1" applyFill="1" applyBorder="1"/>
    <xf numFmtId="167" fontId="29" fillId="31" borderId="39" xfId="28" applyNumberFormat="1" applyFill="1" applyBorder="1"/>
    <xf numFmtId="41" fontId="29" fillId="31" borderId="38" xfId="28" applyNumberFormat="1" applyFill="1" applyBorder="1"/>
    <xf numFmtId="41" fontId="29" fillId="31" borderId="72" xfId="28" applyNumberFormat="1" applyFill="1" applyBorder="1"/>
    <xf numFmtId="0" fontId="64" fillId="31" borderId="33" xfId="28" applyFont="1" applyFill="1" applyAlignment="1">
      <alignment wrapText="1"/>
    </xf>
    <xf numFmtId="41" fontId="29" fillId="31" borderId="70" xfId="28" applyNumberFormat="1" applyFill="1" applyBorder="1"/>
    <xf numFmtId="41" fontId="29" fillId="31" borderId="39" xfId="28" applyNumberFormat="1" applyFill="1" applyBorder="1"/>
    <xf numFmtId="167" fontId="16" fillId="9" borderId="76" xfId="24" applyNumberFormat="1" applyFont="1" applyFill="1" applyBorder="1" applyAlignment="1">
      <alignment wrapText="1"/>
    </xf>
    <xf numFmtId="167" fontId="16" fillId="9" borderId="74" xfId="24" applyNumberFormat="1" applyFont="1" applyFill="1" applyBorder="1" applyAlignment="1">
      <alignment wrapText="1"/>
    </xf>
    <xf numFmtId="169" fontId="29" fillId="31" borderId="78" xfId="1" applyNumberFormat="1" applyFont="1" applyFill="1" applyBorder="1" applyAlignment="1">
      <alignment horizontal="center" wrapText="1"/>
    </xf>
    <xf numFmtId="0" fontId="37" fillId="9" borderId="76" xfId="0" applyFont="1" applyFill="1" applyBorder="1" applyAlignment="1">
      <alignment wrapText="1"/>
    </xf>
    <xf numFmtId="0" fontId="37" fillId="9" borderId="74" xfId="0" applyFont="1" applyFill="1" applyBorder="1" applyAlignment="1">
      <alignment wrapText="1"/>
    </xf>
    <xf numFmtId="0" fontId="97" fillId="21" borderId="31" xfId="26" applyFont="1" applyFill="1" applyAlignment="1">
      <alignment vertical="center"/>
    </xf>
    <xf numFmtId="167" fontId="97" fillId="21" borderId="31" xfId="26" applyNumberFormat="1" applyFont="1" applyFill="1"/>
    <xf numFmtId="0" fontId="97" fillId="21" borderId="31" xfId="26" applyFont="1" applyFill="1" applyAlignment="1"/>
    <xf numFmtId="1" fontId="29" fillId="31" borderId="39" xfId="28" applyNumberFormat="1" applyFill="1" applyBorder="1" applyAlignment="1">
      <alignment horizontal="right" wrapText="1"/>
    </xf>
    <xf numFmtId="1" fontId="29" fillId="31" borderId="70" xfId="28" applyNumberFormat="1" applyFill="1" applyBorder="1" applyAlignment="1">
      <alignment horizontal="right" wrapText="1"/>
    </xf>
    <xf numFmtId="41" fontId="29" fillId="31" borderId="39" xfId="28" applyNumberFormat="1" applyFill="1" applyBorder="1" applyAlignment="1">
      <alignment horizontal="right"/>
    </xf>
    <xf numFmtId="41" fontId="29" fillId="31" borderId="70" xfId="28" applyNumberFormat="1" applyFill="1" applyBorder="1" applyAlignment="1">
      <alignment horizontal="right"/>
    </xf>
    <xf numFmtId="0" fontId="29" fillId="31" borderId="39" xfId="28" applyFill="1" applyBorder="1"/>
    <xf numFmtId="0" fontId="29" fillId="31" borderId="70" xfId="28" applyFill="1" applyBorder="1"/>
    <xf numFmtId="41" fontId="30" fillId="15" borderId="24" xfId="29" applyNumberFormat="1" applyBorder="1" applyAlignment="1">
      <alignment horizontal="right"/>
    </xf>
    <xf numFmtId="41" fontId="30" fillId="15" borderId="25" xfId="29" applyNumberFormat="1" applyBorder="1" applyAlignment="1">
      <alignment horizontal="right"/>
    </xf>
    <xf numFmtId="0" fontId="50" fillId="0" borderId="141" xfId="0" applyFont="1" applyBorder="1" applyAlignment="1">
      <alignment wrapText="1"/>
    </xf>
    <xf numFmtId="0" fontId="50" fillId="0" borderId="141" xfId="0" applyFont="1" applyBorder="1"/>
    <xf numFmtId="41" fontId="30" fillId="28" borderId="24" xfId="29" applyNumberFormat="1" applyFill="1" applyBorder="1" applyAlignment="1">
      <alignment horizontal="right"/>
    </xf>
    <xf numFmtId="41" fontId="30" fillId="28" borderId="59" xfId="29" applyNumberFormat="1" applyFill="1" applyBorder="1"/>
    <xf numFmtId="41" fontId="30" fillId="28" borderId="25" xfId="29" applyNumberFormat="1" applyFill="1" applyBorder="1" applyAlignment="1">
      <alignment horizontal="right"/>
    </xf>
    <xf numFmtId="41" fontId="30" fillId="28" borderId="140" xfId="29" applyNumberFormat="1" applyFill="1" applyBorder="1"/>
    <xf numFmtId="41" fontId="30" fillId="28" borderId="24" xfId="29" applyNumberFormat="1" applyFill="1" applyBorder="1"/>
    <xf numFmtId="41" fontId="30" fillId="28" borderId="60" xfId="29" applyNumberFormat="1" applyFill="1" applyBorder="1"/>
    <xf numFmtId="41" fontId="31" fillId="28" borderId="73" xfId="30" applyNumberFormat="1" applyFill="1" applyBorder="1" applyAlignment="1">
      <alignment horizontal="center"/>
    </xf>
    <xf numFmtId="41" fontId="52" fillId="28" borderId="71" xfId="29" applyNumberFormat="1" applyFont="1" applyFill="1" applyBorder="1"/>
    <xf numFmtId="41" fontId="16" fillId="28" borderId="60" xfId="29" applyNumberFormat="1" applyFont="1" applyFill="1" applyBorder="1"/>
    <xf numFmtId="1" fontId="82" fillId="30" borderId="33" xfId="28" applyNumberFormat="1" applyFont="1" applyFill="1"/>
    <xf numFmtId="44" fontId="82" fillId="30" borderId="33" xfId="28" applyNumberFormat="1" applyFont="1" applyFill="1"/>
    <xf numFmtId="0" fontId="91" fillId="0" borderId="0" xfId="0" applyFont="1"/>
    <xf numFmtId="0" fontId="71" fillId="0" borderId="0" xfId="0" applyFont="1"/>
    <xf numFmtId="41" fontId="29" fillId="31" borderId="143" xfId="28" applyNumberFormat="1" applyFill="1" applyBorder="1" applyAlignment="1">
      <alignment horizontal="center"/>
    </xf>
    <xf numFmtId="167" fontId="29" fillId="31" borderId="22" xfId="28" applyNumberFormat="1" applyFill="1" applyBorder="1"/>
    <xf numFmtId="167" fontId="29" fillId="31" borderId="0" xfId="28" applyNumberFormat="1" applyFill="1" applyBorder="1"/>
    <xf numFmtId="9" fontId="33" fillId="20" borderId="76" xfId="32" applyNumberFormat="1" applyFill="1" applyBorder="1" applyAlignment="1">
      <alignment horizontal="center" wrapText="1"/>
    </xf>
    <xf numFmtId="0" fontId="18" fillId="0" borderId="47" xfId="0" applyFont="1" applyBorder="1"/>
    <xf numFmtId="0" fontId="93" fillId="0" borderId="47" xfId="32" applyFont="1" applyBorder="1" applyAlignment="1">
      <alignment vertical="center" wrapText="1"/>
    </xf>
    <xf numFmtId="41" fontId="30" fillId="15" borderId="144" xfId="29" applyNumberFormat="1" applyBorder="1" applyAlignment="1">
      <alignment horizontal="right"/>
    </xf>
    <xf numFmtId="41" fontId="30" fillId="15" borderId="145" xfId="29" applyNumberFormat="1" applyBorder="1" applyAlignment="1">
      <alignment horizontal="right"/>
    </xf>
    <xf numFmtId="41" fontId="30" fillId="15" borderId="119" xfId="29" applyNumberFormat="1" applyBorder="1" applyAlignment="1">
      <alignment horizontal="right"/>
    </xf>
    <xf numFmtId="41" fontId="30" fillId="15" borderId="146" xfId="29" applyNumberFormat="1" applyBorder="1" applyAlignment="1">
      <alignment horizontal="right"/>
    </xf>
    <xf numFmtId="167" fontId="29" fillId="31" borderId="125" xfId="28" applyNumberFormat="1" applyFill="1" applyBorder="1"/>
    <xf numFmtId="167" fontId="30" fillId="15" borderId="147" xfId="29" applyNumberFormat="1" applyBorder="1"/>
    <xf numFmtId="167" fontId="31" fillId="15" borderId="148" xfId="30" applyNumberFormat="1" applyBorder="1"/>
    <xf numFmtId="0" fontId="104" fillId="0" borderId="0" xfId="18" applyFont="1" applyFill="1" applyBorder="1"/>
    <xf numFmtId="0" fontId="104" fillId="0" borderId="0" xfId="19" applyFont="1" applyFill="1" applyBorder="1"/>
    <xf numFmtId="167" fontId="31" fillId="15" borderId="149" xfId="30" applyNumberFormat="1" applyBorder="1"/>
    <xf numFmtId="167" fontId="29" fillId="31" borderId="27" xfId="28" applyNumberFormat="1" applyFill="1" applyBorder="1"/>
    <xf numFmtId="44" fontId="29" fillId="31" borderId="39" xfId="24" applyFont="1" applyFill="1" applyBorder="1"/>
    <xf numFmtId="41" fontId="30" fillId="15" borderId="59" xfId="29" applyNumberFormat="1" applyBorder="1"/>
    <xf numFmtId="41" fontId="30" fillId="15" borderId="140" xfId="29" applyNumberFormat="1" applyBorder="1"/>
    <xf numFmtId="41" fontId="30" fillId="15" borderId="56" xfId="29" applyNumberFormat="1" applyBorder="1"/>
    <xf numFmtId="41" fontId="30" fillId="15" borderId="150" xfId="29" applyNumberFormat="1" applyBorder="1"/>
    <xf numFmtId="41" fontId="29" fillId="31" borderId="0" xfId="28" applyNumberFormat="1" applyFill="1" applyBorder="1"/>
    <xf numFmtId="41" fontId="29" fillId="31" borderId="33" xfId="28" applyNumberFormat="1" applyFill="1" applyAlignment="1">
      <alignment horizontal="right" vertical="center" wrapText="1"/>
    </xf>
    <xf numFmtId="3" fontId="29" fillId="31" borderId="33" xfId="28" applyNumberFormat="1" applyFill="1" applyAlignment="1">
      <alignment horizontal="right" vertical="center" wrapText="1"/>
    </xf>
    <xf numFmtId="164" fontId="95" fillId="0" borderId="2" xfId="0" applyNumberFormat="1" applyFont="1" applyBorder="1" applyAlignment="1">
      <alignment horizontal="left" vertical="center" wrapText="1"/>
    </xf>
    <xf numFmtId="0" fontId="5" fillId="0" borderId="2" xfId="0" applyFont="1" applyBorder="1" applyAlignment="1">
      <alignment horizontal="left" vertical="top" wrapText="1"/>
    </xf>
    <xf numFmtId="41" fontId="52" fillId="28" borderId="159" xfId="29" applyNumberFormat="1" applyFont="1" applyFill="1" applyBorder="1"/>
    <xf numFmtId="41" fontId="29" fillId="31" borderId="68" xfId="28" applyNumberFormat="1" applyFill="1" applyBorder="1" applyAlignment="1">
      <alignment horizontal="center"/>
    </xf>
    <xf numFmtId="41" fontId="29" fillId="31" borderId="25" xfId="28" applyNumberFormat="1" applyFill="1" applyBorder="1" applyAlignment="1">
      <alignment horizontal="center"/>
    </xf>
    <xf numFmtId="41" fontId="52" fillId="28" borderId="146" xfId="29" applyNumberFormat="1" applyFont="1" applyFill="1" applyBorder="1"/>
    <xf numFmtId="41" fontId="31" fillId="28" borderId="142" xfId="30" applyNumberFormat="1" applyFill="1" applyBorder="1" applyAlignment="1">
      <alignment horizontal="center"/>
    </xf>
    <xf numFmtId="41" fontId="29" fillId="31" borderId="160" xfId="28" applyNumberFormat="1" applyFill="1" applyBorder="1" applyAlignment="1">
      <alignment horizontal="center"/>
    </xf>
    <xf numFmtId="0" fontId="28" fillId="32" borderId="0" xfId="38" applyFill="1" applyAlignment="1">
      <alignment horizontal="center"/>
    </xf>
    <xf numFmtId="167" fontId="28" fillId="32" borderId="0" xfId="38" applyNumberFormat="1" applyFill="1"/>
    <xf numFmtId="0" fontId="28" fillId="33" borderId="32" xfId="27" applyFill="1" applyAlignment="1">
      <alignment horizontal="left"/>
    </xf>
    <xf numFmtId="167" fontId="28" fillId="33" borderId="32" xfId="24" applyNumberFormat="1" applyFont="1" applyFill="1" applyBorder="1" applyAlignment="1">
      <alignment horizontal="right"/>
    </xf>
    <xf numFmtId="1" fontId="28" fillId="32" borderId="0" xfId="38" applyNumberFormat="1" applyFill="1" applyAlignment="1">
      <alignment horizontal="center"/>
    </xf>
    <xf numFmtId="0" fontId="28" fillId="33" borderId="32" xfId="27" applyFill="1" applyAlignment="1">
      <alignment horizontal="center"/>
    </xf>
    <xf numFmtId="167" fontId="28" fillId="33" borderId="0" xfId="27" applyNumberFormat="1" applyFill="1" applyBorder="1" applyAlignment="1">
      <alignment horizontal="right"/>
    </xf>
    <xf numFmtId="167" fontId="28" fillId="33" borderId="32" xfId="24" applyNumberFormat="1" applyFont="1" applyFill="1" applyBorder="1"/>
    <xf numFmtId="167" fontId="28" fillId="33" borderId="151" xfId="24" applyNumberFormat="1" applyFont="1" applyFill="1" applyBorder="1"/>
    <xf numFmtId="167" fontId="28" fillId="33" borderId="32" xfId="27" applyNumberFormat="1" applyFill="1"/>
    <xf numFmtId="167" fontId="28" fillId="33" borderId="151" xfId="27" applyNumberFormat="1" applyFill="1" applyBorder="1"/>
    <xf numFmtId="44" fontId="101" fillId="33" borderId="0" xfId="34" applyNumberFormat="1" applyFont="1" applyFill="1" applyAlignment="1">
      <alignment horizontal="left"/>
    </xf>
    <xf numFmtId="167" fontId="101" fillId="33" borderId="0" xfId="34" applyNumberFormat="1" applyFont="1" applyFill="1"/>
    <xf numFmtId="0" fontId="101" fillId="32" borderId="32" xfId="27" applyFont="1" applyFill="1" applyAlignment="1">
      <alignment horizontal="left" wrapText="1"/>
    </xf>
    <xf numFmtId="167" fontId="101" fillId="32" borderId="32" xfId="27" applyNumberFormat="1" applyFont="1" applyFill="1"/>
    <xf numFmtId="167" fontId="28" fillId="32" borderId="161" xfId="38" applyNumberFormat="1" applyFill="1" applyBorder="1"/>
    <xf numFmtId="167" fontId="28" fillId="32" borderId="162" xfId="24" applyNumberFormat="1" applyFont="1" applyFill="1" applyBorder="1" applyAlignment="1">
      <alignment horizontal="center"/>
    </xf>
    <xf numFmtId="167" fontId="28" fillId="33" borderId="32" xfId="27" applyNumberFormat="1" applyFill="1" applyAlignment="1">
      <alignment horizontal="right"/>
    </xf>
    <xf numFmtId="167" fontId="101" fillId="33" borderId="84" xfId="34" applyNumberFormat="1" applyFont="1" applyFill="1" applyBorder="1"/>
    <xf numFmtId="167" fontId="28" fillId="33" borderId="152" xfId="24" applyNumberFormat="1" applyFont="1" applyFill="1" applyBorder="1"/>
    <xf numFmtId="41" fontId="50" fillId="0" borderId="163" xfId="0" applyNumberFormat="1" applyFont="1" applyBorder="1" applyAlignment="1">
      <alignment horizontal="center"/>
    </xf>
    <xf numFmtId="41" fontId="49" fillId="9" borderId="4" xfId="0" applyNumberFormat="1" applyFont="1" applyFill="1" applyBorder="1"/>
    <xf numFmtId="41" fontId="49" fillId="9" borderId="47" xfId="0" applyNumberFormat="1" applyFont="1" applyFill="1" applyBorder="1"/>
    <xf numFmtId="41" fontId="50" fillId="0" borderId="47" xfId="0" applyNumberFormat="1" applyFont="1" applyBorder="1" applyAlignment="1">
      <alignment horizontal="center"/>
    </xf>
    <xf numFmtId="41" fontId="50" fillId="0" borderId="164" xfId="0" applyNumberFormat="1" applyFont="1" applyBorder="1"/>
    <xf numFmtId="167" fontId="28" fillId="32" borderId="30" xfId="24" applyNumberFormat="1" applyFont="1" applyFill="1" applyBorder="1"/>
    <xf numFmtId="41" fontId="50" fillId="0" borderId="47" xfId="0" applyNumberFormat="1" applyFont="1" applyBorder="1" applyAlignment="1">
      <alignment horizontal="center" wrapText="1"/>
    </xf>
    <xf numFmtId="167" fontId="28" fillId="32" borderId="11" xfId="24" applyNumberFormat="1" applyFont="1" applyFill="1" applyBorder="1" applyAlignment="1">
      <alignment horizontal="right"/>
    </xf>
    <xf numFmtId="41" fontId="49" fillId="0" borderId="165" xfId="0" applyNumberFormat="1" applyFont="1" applyBorder="1"/>
    <xf numFmtId="0" fontId="0" fillId="0" borderId="42" xfId="0" applyBorder="1"/>
    <xf numFmtId="41" fontId="50" fillId="11" borderId="163" xfId="0" applyNumberFormat="1" applyFont="1" applyFill="1" applyBorder="1" applyAlignment="1">
      <alignment horizontal="center" wrapText="1"/>
    </xf>
    <xf numFmtId="41" fontId="49" fillId="0" borderId="4" xfId="0" applyNumberFormat="1" applyFont="1" applyBorder="1"/>
    <xf numFmtId="41" fontId="49" fillId="0" borderId="47" xfId="0" applyNumberFormat="1" applyFont="1" applyBorder="1"/>
    <xf numFmtId="0" fontId="0" fillId="0" borderId="166" xfId="0" applyBorder="1"/>
    <xf numFmtId="41" fontId="50" fillId="0" borderId="42" xfId="0" applyNumberFormat="1" applyFont="1" applyBorder="1" applyAlignment="1">
      <alignment horizontal="center" wrapText="1"/>
    </xf>
    <xf numFmtId="41" fontId="49" fillId="0" borderId="167" xfId="0" applyNumberFormat="1" applyFont="1" applyBorder="1"/>
    <xf numFmtId="41" fontId="50" fillId="0" borderId="92" xfId="0" applyNumberFormat="1" applyFont="1" applyBorder="1"/>
    <xf numFmtId="0" fontId="0" fillId="0" borderId="40" xfId="0" applyBorder="1"/>
    <xf numFmtId="41" fontId="49" fillId="0" borderId="168" xfId="0" applyNumberFormat="1" applyFont="1" applyBorder="1"/>
    <xf numFmtId="0" fontId="50" fillId="0" borderId="84" xfId="0" applyFont="1" applyBorder="1" applyAlignment="1">
      <alignment horizontal="center" wrapText="1"/>
    </xf>
    <xf numFmtId="41" fontId="17" fillId="0" borderId="47" xfId="0" applyNumberFormat="1" applyFont="1" applyBorder="1" applyAlignment="1">
      <alignment horizontal="center" wrapText="1"/>
    </xf>
    <xf numFmtId="41" fontId="50" fillId="0" borderId="168" xfId="0" applyNumberFormat="1" applyFont="1" applyBorder="1" applyAlignment="1">
      <alignment horizontal="center" wrapText="1"/>
    </xf>
    <xf numFmtId="0" fontId="94" fillId="0" borderId="42" xfId="32" applyFont="1" applyBorder="1" applyAlignment="1">
      <alignment vertical="center" wrapText="1"/>
    </xf>
    <xf numFmtId="167" fontId="16" fillId="33" borderId="76" xfId="24" applyNumberFormat="1" applyFont="1" applyFill="1" applyBorder="1" applyAlignment="1">
      <alignment wrapText="1"/>
    </xf>
    <xf numFmtId="0" fontId="37" fillId="33" borderId="30" xfId="0" applyFont="1" applyFill="1" applyBorder="1" applyAlignment="1">
      <alignment wrapText="1"/>
    </xf>
    <xf numFmtId="10" fontId="31" fillId="33" borderId="78" xfId="30" applyNumberFormat="1" applyFill="1" applyBorder="1" applyAlignment="1">
      <alignment wrapText="1"/>
    </xf>
    <xf numFmtId="0" fontId="37" fillId="33" borderId="124" xfId="0" applyFont="1" applyFill="1" applyBorder="1" applyAlignment="1">
      <alignment wrapText="1"/>
    </xf>
    <xf numFmtId="167" fontId="101" fillId="33" borderId="0" xfId="20" applyNumberFormat="1" applyFont="1" applyFill="1" applyBorder="1"/>
    <xf numFmtId="0" fontId="101" fillId="33" borderId="0" xfId="20" applyFont="1" applyFill="1" applyBorder="1" applyAlignment="1"/>
    <xf numFmtId="167" fontId="101" fillId="32" borderId="0" xfId="17" applyNumberFormat="1" applyFont="1" applyFill="1" applyBorder="1"/>
    <xf numFmtId="167" fontId="101" fillId="32" borderId="30" xfId="17" applyNumberFormat="1" applyFont="1" applyFill="1" applyBorder="1"/>
    <xf numFmtId="0" fontId="101" fillId="32" borderId="0" xfId="17" applyFont="1" applyFill="1" applyBorder="1" applyAlignment="1">
      <alignment wrapText="1"/>
    </xf>
    <xf numFmtId="0" fontId="28" fillId="33" borderId="0" xfId="20" applyFont="1" applyFill="1" applyBorder="1" applyAlignment="1"/>
    <xf numFmtId="0" fontId="35" fillId="32" borderId="0" xfId="17" applyFont="1" applyFill="1" applyBorder="1" applyAlignment="1"/>
    <xf numFmtId="0" fontId="35" fillId="33" borderId="0" xfId="20" applyFont="1" applyFill="1" applyBorder="1" applyAlignment="1"/>
    <xf numFmtId="41" fontId="28" fillId="32" borderId="3" xfId="17" applyNumberFormat="1" applyFont="1" applyFill="1" applyBorder="1" applyAlignment="1">
      <alignment horizontal="right"/>
    </xf>
    <xf numFmtId="41" fontId="28" fillId="32" borderId="142" xfId="17" applyNumberFormat="1" applyFont="1" applyFill="1" applyBorder="1" applyAlignment="1">
      <alignment horizontal="right"/>
    </xf>
    <xf numFmtId="41" fontId="28" fillId="32" borderId="55" xfId="17" applyNumberFormat="1" applyFont="1" applyFill="1" applyBorder="1" applyAlignment="1">
      <alignment horizontal="right"/>
    </xf>
    <xf numFmtId="0" fontId="28" fillId="32" borderId="0" xfId="17" applyFont="1" applyFill="1" applyBorder="1" applyAlignment="1"/>
    <xf numFmtId="167" fontId="28" fillId="32" borderId="0" xfId="17" applyNumberFormat="1" applyFont="1" applyFill="1" applyBorder="1"/>
    <xf numFmtId="0" fontId="28" fillId="32" borderId="0" xfId="17" applyFont="1" applyFill="1" applyAlignment="1"/>
    <xf numFmtId="0" fontId="28" fillId="33" borderId="0" xfId="17" applyFont="1" applyFill="1" applyBorder="1" applyAlignment="1"/>
    <xf numFmtId="0" fontId="37" fillId="33" borderId="76" xfId="0" applyFont="1" applyFill="1" applyBorder="1" applyAlignment="1">
      <alignment wrapText="1"/>
    </xf>
    <xf numFmtId="0" fontId="105" fillId="0" borderId="0" xfId="0" applyFont="1"/>
    <xf numFmtId="0" fontId="106" fillId="0" borderId="2" xfId="0" applyFont="1" applyBorder="1"/>
    <xf numFmtId="0" fontId="105" fillId="0" borderId="2" xfId="0" applyFont="1" applyBorder="1"/>
    <xf numFmtId="10" fontId="105" fillId="12" borderId="2" xfId="1" applyNumberFormat="1" applyFont="1" applyFill="1" applyBorder="1"/>
    <xf numFmtId="0" fontId="105" fillId="12" borderId="2" xfId="0" applyFont="1" applyFill="1" applyBorder="1"/>
    <xf numFmtId="0" fontId="106" fillId="0" borderId="29" xfId="0" applyFont="1" applyBorder="1" applyAlignment="1">
      <alignment wrapText="1"/>
    </xf>
    <xf numFmtId="167" fontId="107" fillId="0" borderId="29" xfId="24" applyNumberFormat="1" applyFont="1" applyBorder="1"/>
    <xf numFmtId="165" fontId="106" fillId="0" borderId="29" xfId="0" applyNumberFormat="1" applyFont="1" applyBorder="1" applyAlignment="1">
      <alignment wrapText="1"/>
    </xf>
    <xf numFmtId="167" fontId="107" fillId="0" borderId="29" xfId="24" applyNumberFormat="1" applyFont="1" applyBorder="1" applyAlignment="1">
      <alignment wrapText="1"/>
    </xf>
    <xf numFmtId="165" fontId="106" fillId="0" borderId="0" xfId="0" applyNumberFormat="1" applyFont="1" applyAlignment="1">
      <alignment wrapText="1"/>
    </xf>
    <xf numFmtId="0" fontId="105" fillId="0" borderId="29" xfId="0" applyFont="1" applyBorder="1"/>
    <xf numFmtId="0" fontId="108" fillId="0" borderId="29" xfId="0" applyFont="1" applyBorder="1" applyAlignment="1">
      <alignment vertical="center" wrapText="1"/>
    </xf>
    <xf numFmtId="165" fontId="106" fillId="0" borderId="29" xfId="17" applyNumberFormat="1" applyFont="1" applyFill="1" applyBorder="1" applyAlignment="1" applyProtection="1">
      <alignment horizontal="right"/>
    </xf>
    <xf numFmtId="0" fontId="56" fillId="15" borderId="119" xfId="29" applyFont="1" applyBorder="1" applyAlignment="1">
      <alignment wrapText="1"/>
    </xf>
    <xf numFmtId="0" fontId="60" fillId="0" borderId="0" xfId="33" applyFont="1" applyBorder="1" applyAlignment="1">
      <alignment wrapText="1"/>
    </xf>
    <xf numFmtId="0" fontId="56" fillId="9" borderId="0" xfId="29" applyFont="1" applyFill="1" applyBorder="1" applyAlignment="1">
      <alignment wrapText="1"/>
    </xf>
    <xf numFmtId="0" fontId="111" fillId="0" borderId="0" xfId="33" applyFont="1" applyAlignment="1">
      <alignment wrapText="1"/>
    </xf>
    <xf numFmtId="0" fontId="112" fillId="0" borderId="0" xfId="33" applyFont="1" applyAlignment="1">
      <alignment vertical="center"/>
    </xf>
    <xf numFmtId="0" fontId="114" fillId="0" borderId="0" xfId="0" applyFont="1"/>
    <xf numFmtId="0" fontId="115" fillId="0" borderId="0" xfId="0" applyFont="1"/>
    <xf numFmtId="0" fontId="116" fillId="0" borderId="0" xfId="0" applyFont="1"/>
    <xf numFmtId="0" fontId="112" fillId="0" borderId="0" xfId="33" applyFont="1" applyBorder="1" applyAlignment="1">
      <alignment vertical="center"/>
    </xf>
    <xf numFmtId="44" fontId="28" fillId="32" borderId="30" xfId="24" applyFont="1" applyFill="1" applyBorder="1" applyAlignment="1">
      <alignment horizontal="center"/>
    </xf>
    <xf numFmtId="44" fontId="28" fillId="32" borderId="4" xfId="24" applyFont="1" applyFill="1" applyBorder="1"/>
    <xf numFmtId="44" fontId="28" fillId="33" borderId="0" xfId="24" applyFont="1" applyFill="1" applyBorder="1" applyAlignment="1">
      <alignment horizontal="right"/>
    </xf>
    <xf numFmtId="44" fontId="28" fillId="33" borderId="0" xfId="24" applyFont="1" applyFill="1" applyAlignment="1">
      <alignment horizontal="right"/>
    </xf>
    <xf numFmtId="44" fontId="35" fillId="33" borderId="0" xfId="24" applyFont="1" applyFill="1" applyAlignment="1">
      <alignment horizontal="right"/>
    </xf>
    <xf numFmtId="44" fontId="35" fillId="33" borderId="11" xfId="24" applyFont="1" applyFill="1" applyBorder="1" applyAlignment="1">
      <alignment horizontal="right"/>
    </xf>
    <xf numFmtId="44" fontId="35" fillId="32" borderId="4" xfId="24" applyFont="1" applyFill="1" applyBorder="1" applyAlignment="1">
      <alignment horizontal="right"/>
    </xf>
    <xf numFmtId="44" fontId="35" fillId="32" borderId="27" xfId="24" applyFont="1" applyFill="1" applyBorder="1" applyAlignment="1">
      <alignment horizontal="center"/>
    </xf>
    <xf numFmtId="44" fontId="35" fillId="32" borderId="7" xfId="24" applyFont="1" applyFill="1" applyBorder="1"/>
    <xf numFmtId="44" fontId="35" fillId="32" borderId="30" xfId="24" applyFont="1" applyFill="1" applyBorder="1" applyAlignment="1">
      <alignment horizontal="center"/>
    </xf>
    <xf numFmtId="44" fontId="35" fillId="32" borderId="0" xfId="24" applyFont="1" applyFill="1" applyBorder="1" applyAlignment="1">
      <alignment horizontal="center"/>
    </xf>
    <xf numFmtId="44" fontId="28" fillId="33" borderId="7" xfId="24" applyFont="1" applyFill="1" applyBorder="1" applyAlignment="1">
      <alignment horizontal="right"/>
    </xf>
    <xf numFmtId="44" fontId="28" fillId="33" borderId="0" xfId="24" applyFont="1" applyFill="1"/>
    <xf numFmtId="44" fontId="28" fillId="33" borderId="161" xfId="24" applyFont="1" applyFill="1" applyBorder="1"/>
    <xf numFmtId="44" fontId="28" fillId="33" borderId="11" xfId="24" applyFont="1" applyFill="1" applyBorder="1"/>
    <xf numFmtId="14" fontId="90" fillId="31" borderId="4" xfId="28" applyNumberFormat="1" applyFont="1" applyFill="1" applyBorder="1"/>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41" fillId="0" borderId="3" xfId="0" applyFont="1" applyBorder="1" applyAlignment="1">
      <alignment horizontal="center"/>
    </xf>
    <xf numFmtId="0" fontId="41" fillId="0" borderId="4" xfId="0" applyFont="1" applyBorder="1" applyAlignment="1">
      <alignment horizontal="center"/>
    </xf>
    <xf numFmtId="0" fontId="41" fillId="0" borderId="5" xfId="0" applyFont="1" applyBorder="1" applyAlignment="1">
      <alignment horizontal="center"/>
    </xf>
    <xf numFmtId="0" fontId="18" fillId="0" borderId="3" xfId="0" applyFont="1" applyBorder="1" applyAlignment="1">
      <alignment horizontal="left" wrapText="1"/>
    </xf>
    <xf numFmtId="0" fontId="18" fillId="0" borderId="5" xfId="0" applyFont="1" applyBorder="1" applyAlignment="1">
      <alignment horizontal="left" wrapText="1"/>
    </xf>
    <xf numFmtId="0" fontId="93" fillId="0" borderId="0" xfId="32" applyFont="1" applyFill="1" applyBorder="1" applyAlignment="1">
      <alignment vertical="center" wrapText="1"/>
    </xf>
    <xf numFmtId="0" fontId="5" fillId="9" borderId="0" xfId="0" applyFont="1" applyFill="1" applyAlignment="1">
      <alignment wrapText="1"/>
    </xf>
    <xf numFmtId="0" fontId="29" fillId="9" borderId="0" xfId="28" applyFill="1" applyBorder="1"/>
    <xf numFmtId="168" fontId="31" fillId="9" borderId="0" xfId="30" applyNumberFormat="1" applyFill="1" applyBorder="1"/>
    <xf numFmtId="9" fontId="29" fillId="9" borderId="0" xfId="1" applyFont="1" applyFill="1" applyBorder="1"/>
    <xf numFmtId="0" fontId="69" fillId="9" borderId="2" xfId="0" applyFont="1" applyFill="1" applyBorder="1" applyAlignment="1">
      <alignment wrapText="1"/>
    </xf>
    <xf numFmtId="9" fontId="119" fillId="31" borderId="2" xfId="1" applyFont="1" applyFill="1" applyBorder="1" applyAlignment="1">
      <alignment horizontal="center" wrapText="1"/>
    </xf>
    <xf numFmtId="0" fontId="119" fillId="31" borderId="2" xfId="0" applyFont="1" applyFill="1" applyBorder="1" applyAlignment="1">
      <alignment horizontal="center" wrapText="1"/>
    </xf>
    <xf numFmtId="0" fontId="70" fillId="31" borderId="2" xfId="32" applyFont="1" applyFill="1" applyBorder="1" applyAlignment="1">
      <alignment horizontal="center" vertical="center" wrapText="1"/>
    </xf>
    <xf numFmtId="0" fontId="69" fillId="0" borderId="2" xfId="32" applyFont="1" applyFill="1" applyBorder="1" applyAlignment="1">
      <alignment vertical="center" wrapText="1"/>
    </xf>
    <xf numFmtId="2" fontId="31" fillId="15" borderId="33" xfId="30" applyNumberFormat="1" applyAlignment="1">
      <alignment vertical="center" wrapText="1"/>
    </xf>
    <xf numFmtId="0" fontId="45" fillId="0" borderId="2" xfId="33" applyFont="1" applyBorder="1" applyAlignment="1"/>
    <xf numFmtId="0" fontId="34" fillId="0" borderId="0" xfId="33" applyBorder="1" applyAlignment="1"/>
    <xf numFmtId="0" fontId="69" fillId="0" borderId="2" xfId="32" applyFont="1" applyFill="1" applyBorder="1" applyAlignment="1">
      <alignment horizontal="center" wrapText="1"/>
    </xf>
    <xf numFmtId="9" fontId="119" fillId="31" borderId="2" xfId="1" applyFont="1" applyFill="1" applyBorder="1" applyAlignment="1">
      <alignment vertical="center" wrapText="1"/>
    </xf>
    <xf numFmtId="2" fontId="119" fillId="31" borderId="2" xfId="1" applyNumberFormat="1" applyFont="1" applyFill="1" applyBorder="1" applyAlignment="1">
      <alignment vertical="center" wrapText="1"/>
    </xf>
    <xf numFmtId="167" fontId="30" fillId="28" borderId="113" xfId="24" applyNumberFormat="1" applyFont="1" applyFill="1" applyBorder="1"/>
    <xf numFmtId="167" fontId="30" fillId="28" borderId="53" xfId="24" applyNumberFormat="1" applyFont="1" applyFill="1" applyBorder="1"/>
    <xf numFmtId="167" fontId="28" fillId="20" borderId="0" xfId="24" applyNumberFormat="1" applyFont="1" applyFill="1" applyAlignment="1">
      <alignment horizontal="right"/>
    </xf>
    <xf numFmtId="0" fontId="119" fillId="0" borderId="0" xfId="0" applyFont="1"/>
    <xf numFmtId="41" fontId="119" fillId="0" borderId="0" xfId="0" applyNumberFormat="1" applyFont="1"/>
    <xf numFmtId="0" fontId="28" fillId="0" borderId="32" xfId="27"/>
    <xf numFmtId="0" fontId="70" fillId="0" borderId="2" xfId="0" applyFont="1" applyBorder="1" applyAlignment="1">
      <alignment vertical="center"/>
    </xf>
    <xf numFmtId="0" fontId="70" fillId="0" borderId="2" xfId="0" applyFont="1" applyBorder="1" applyAlignment="1">
      <alignment horizontal="left" vertical="center"/>
    </xf>
    <xf numFmtId="0" fontId="121" fillId="0" borderId="0" xfId="0" applyFont="1" applyAlignment="1">
      <alignment horizontal="left"/>
    </xf>
    <xf numFmtId="0" fontId="122" fillId="38" borderId="0" xfId="0" applyFont="1" applyFill="1"/>
    <xf numFmtId="167" fontId="30" fillId="15" borderId="34" xfId="29" applyNumberFormat="1" applyAlignment="1">
      <alignment vertical="center"/>
    </xf>
    <xf numFmtId="0" fontId="119" fillId="0" borderId="2" xfId="0" applyFont="1" applyBorder="1"/>
    <xf numFmtId="0" fontId="119" fillId="0" borderId="25" xfId="0" applyFont="1" applyBorder="1"/>
    <xf numFmtId="0" fontId="119" fillId="0" borderId="24" xfId="0" applyFont="1" applyBorder="1"/>
    <xf numFmtId="0" fontId="119" fillId="0" borderId="173" xfId="0" applyFont="1" applyBorder="1"/>
    <xf numFmtId="41" fontId="123" fillId="15" borderId="34" xfId="29" applyNumberFormat="1" applyFont="1"/>
    <xf numFmtId="41" fontId="123" fillId="15" borderId="171" xfId="29" applyNumberFormat="1" applyFont="1" applyBorder="1"/>
    <xf numFmtId="41" fontId="123" fillId="15" borderId="44" xfId="29" applyNumberFormat="1" applyFont="1" applyBorder="1"/>
    <xf numFmtId="41" fontId="123" fillId="15" borderId="172" xfId="29" applyNumberFormat="1" applyFont="1" applyBorder="1"/>
    <xf numFmtId="167" fontId="30" fillId="20" borderId="34" xfId="29" applyNumberFormat="1" applyFill="1" applyAlignment="1">
      <alignment vertical="center"/>
    </xf>
    <xf numFmtId="41" fontId="30" fillId="20" borderId="34" xfId="29" applyNumberFormat="1" applyFill="1"/>
    <xf numFmtId="41" fontId="123" fillId="20" borderId="34" xfId="29" applyNumberFormat="1" applyFont="1" applyFill="1"/>
    <xf numFmtId="41" fontId="123" fillId="20" borderId="171" xfId="29" applyNumberFormat="1" applyFont="1" applyFill="1" applyBorder="1"/>
    <xf numFmtId="41" fontId="123" fillId="20" borderId="44" xfId="29" applyNumberFormat="1" applyFont="1" applyFill="1" applyBorder="1"/>
    <xf numFmtId="41" fontId="123" fillId="20" borderId="174" xfId="29" applyNumberFormat="1" applyFont="1" applyFill="1" applyBorder="1"/>
    <xf numFmtId="0" fontId="125" fillId="0" borderId="0" xfId="33" applyFont="1"/>
    <xf numFmtId="44" fontId="125" fillId="0" borderId="0" xfId="33" applyNumberFormat="1" applyFont="1" applyFill="1"/>
    <xf numFmtId="44" fontId="126" fillId="0" borderId="0" xfId="24" applyFont="1" applyFill="1"/>
    <xf numFmtId="0" fontId="127" fillId="0" borderId="0" xfId="33" applyFont="1"/>
    <xf numFmtId="44" fontId="127" fillId="0" borderId="0" xfId="33" applyNumberFormat="1" applyFont="1" applyFill="1"/>
    <xf numFmtId="0" fontId="35" fillId="0" borderId="170" xfId="40"/>
    <xf numFmtId="0" fontId="88" fillId="0" borderId="0" xfId="33" applyFont="1"/>
    <xf numFmtId="0" fontId="70" fillId="0" borderId="52" xfId="0" applyFont="1" applyBorder="1" applyAlignment="1">
      <alignment horizontal="left" vertical="center"/>
    </xf>
    <xf numFmtId="0" fontId="70" fillId="0" borderId="52" xfId="0" applyFont="1" applyBorder="1" applyAlignment="1">
      <alignment vertical="center"/>
    </xf>
    <xf numFmtId="167" fontId="30" fillId="15" borderId="49" xfId="29" applyNumberFormat="1" applyBorder="1" applyAlignment="1">
      <alignment vertical="center"/>
    </xf>
    <xf numFmtId="0" fontId="119" fillId="0" borderId="0" xfId="0" applyFont="1" applyAlignment="1">
      <alignment horizontal="center"/>
    </xf>
    <xf numFmtId="41" fontId="30" fillId="15" borderId="49" xfId="29" applyNumberFormat="1" applyBorder="1"/>
    <xf numFmtId="41" fontId="72" fillId="33" borderId="2" xfId="0" applyNumberFormat="1" applyFont="1" applyFill="1" applyBorder="1"/>
    <xf numFmtId="167" fontId="30" fillId="20" borderId="49" xfId="29" applyNumberFormat="1" applyFill="1" applyBorder="1" applyAlignment="1">
      <alignment vertical="center"/>
    </xf>
    <xf numFmtId="41" fontId="132" fillId="11" borderId="2" xfId="0" applyNumberFormat="1" applyFont="1" applyFill="1" applyBorder="1"/>
    <xf numFmtId="41" fontId="30" fillId="20" borderId="49" xfId="29" applyNumberFormat="1" applyFill="1" applyBorder="1"/>
    <xf numFmtId="0" fontId="119" fillId="0" borderId="175" xfId="0" applyFont="1" applyBorder="1"/>
    <xf numFmtId="41" fontId="123" fillId="20" borderId="99" xfId="29" applyNumberFormat="1" applyFont="1" applyFill="1" applyBorder="1"/>
    <xf numFmtId="41" fontId="132" fillId="33" borderId="2" xfId="0" applyNumberFormat="1" applyFont="1" applyFill="1" applyBorder="1"/>
    <xf numFmtId="41" fontId="132" fillId="33" borderId="0" xfId="0" applyNumberFormat="1" applyFont="1" applyFill="1"/>
    <xf numFmtId="0" fontId="28" fillId="0" borderId="32" xfId="27" applyAlignment="1">
      <alignment horizontal="center"/>
    </xf>
    <xf numFmtId="0" fontId="14" fillId="0" borderId="6" xfId="25" applyAlignment="1">
      <alignment horizontal="center"/>
    </xf>
    <xf numFmtId="167" fontId="30" fillId="33" borderId="34" xfId="29" applyNumberFormat="1" applyFill="1" applyAlignment="1">
      <alignment vertical="center"/>
    </xf>
    <xf numFmtId="41" fontId="30" fillId="33" borderId="34" xfId="29" applyNumberFormat="1" applyFill="1"/>
    <xf numFmtId="41" fontId="123" fillId="33" borderId="34" xfId="29" applyNumberFormat="1" applyFont="1" applyFill="1"/>
    <xf numFmtId="41" fontId="123" fillId="33" borderId="171" xfId="29" applyNumberFormat="1" applyFont="1" applyFill="1" applyBorder="1"/>
    <xf numFmtId="41" fontId="123" fillId="33" borderId="44" xfId="29" applyNumberFormat="1" applyFont="1" applyFill="1" applyBorder="1"/>
    <xf numFmtId="41" fontId="123" fillId="33" borderId="49" xfId="29" applyNumberFormat="1" applyFont="1" applyFill="1" applyBorder="1"/>
    <xf numFmtId="41" fontId="123" fillId="33" borderId="172" xfId="29" applyNumberFormat="1" applyFont="1" applyFill="1" applyBorder="1"/>
    <xf numFmtId="167" fontId="30" fillId="11" borderId="34" xfId="29" applyNumberFormat="1" applyFill="1" applyAlignment="1">
      <alignment vertical="center"/>
    </xf>
    <xf numFmtId="41" fontId="30" fillId="11" borderId="34" xfId="29" applyNumberFormat="1" applyFill="1"/>
    <xf numFmtId="41" fontId="123" fillId="11" borderId="34" xfId="29" applyNumberFormat="1" applyFont="1" applyFill="1"/>
    <xf numFmtId="41" fontId="123" fillId="11" borderId="49" xfId="29" applyNumberFormat="1" applyFont="1" applyFill="1" applyBorder="1"/>
    <xf numFmtId="41" fontId="123" fillId="11" borderId="172" xfId="29" applyNumberFormat="1" applyFont="1" applyFill="1" applyBorder="1"/>
    <xf numFmtId="41" fontId="123" fillId="11" borderId="44" xfId="29" applyNumberFormat="1" applyFont="1" applyFill="1" applyBorder="1"/>
    <xf numFmtId="41" fontId="123" fillId="11" borderId="171" xfId="29" applyNumberFormat="1" applyFont="1" applyFill="1" applyBorder="1"/>
    <xf numFmtId="9" fontId="119" fillId="9" borderId="0" xfId="1" applyFont="1" applyFill="1" applyBorder="1" applyAlignment="1">
      <alignment vertical="center" wrapText="1"/>
    </xf>
    <xf numFmtId="2" fontId="119" fillId="9" borderId="0" xfId="1" applyNumberFormat="1" applyFont="1" applyFill="1" applyBorder="1" applyAlignment="1">
      <alignment vertical="center" wrapText="1"/>
    </xf>
    <xf numFmtId="0" fontId="129" fillId="9" borderId="0" xfId="32" applyFont="1" applyFill="1" applyBorder="1" applyAlignment="1">
      <alignment horizontal="center" vertical="center" wrapText="1"/>
    </xf>
    <xf numFmtId="2" fontId="31" fillId="9" borderId="0" xfId="30" applyNumberFormat="1" applyFill="1" applyBorder="1" applyAlignment="1">
      <alignment vertical="center" wrapText="1"/>
    </xf>
    <xf numFmtId="2" fontId="31" fillId="15" borderId="176" xfId="30" applyNumberFormat="1" applyBorder="1" applyAlignment="1">
      <alignment vertical="center" wrapText="1"/>
    </xf>
    <xf numFmtId="44" fontId="119" fillId="31" borderId="2" xfId="21" applyFont="1" applyFill="1" applyBorder="1" applyAlignment="1">
      <alignment vertical="center"/>
    </xf>
    <xf numFmtId="44" fontId="119" fillId="9" borderId="7" xfId="21" applyFont="1" applyFill="1" applyBorder="1" applyAlignment="1">
      <alignment vertical="center"/>
    </xf>
    <xf numFmtId="2" fontId="119" fillId="9" borderId="0" xfId="1" applyNumberFormat="1" applyFont="1" applyFill="1" applyBorder="1" applyAlignment="1">
      <alignment horizontal="center" vertical="center"/>
    </xf>
    <xf numFmtId="44" fontId="31" fillId="9" borderId="7" xfId="21" applyFont="1" applyFill="1" applyBorder="1" applyAlignment="1">
      <alignment horizontal="center" vertical="center"/>
    </xf>
    <xf numFmtId="2" fontId="119" fillId="0" borderId="2" xfId="1" applyNumberFormat="1" applyFont="1" applyFill="1" applyBorder="1" applyAlignment="1">
      <alignment horizontal="center" vertical="center"/>
    </xf>
    <xf numFmtId="0" fontId="133" fillId="9" borderId="0" xfId="29" applyFont="1" applyFill="1" applyBorder="1" applyAlignment="1">
      <alignment horizontal="center" vertical="center" wrapText="1"/>
    </xf>
    <xf numFmtId="0" fontId="18" fillId="0" borderId="10" xfId="0" applyFont="1" applyBorder="1"/>
    <xf numFmtId="41" fontId="29" fillId="31" borderId="181" xfId="28" applyNumberFormat="1" applyFill="1" applyBorder="1"/>
    <xf numFmtId="41" fontId="29" fillId="31" borderId="182" xfId="28" applyNumberFormat="1" applyFill="1" applyBorder="1"/>
    <xf numFmtId="41" fontId="29" fillId="31" borderId="180" xfId="28" applyNumberFormat="1" applyFill="1" applyBorder="1"/>
    <xf numFmtId="167" fontId="1" fillId="20" borderId="74" xfId="36" applyNumberFormat="1" applyFill="1" applyBorder="1" applyAlignment="1">
      <alignment wrapText="1"/>
    </xf>
    <xf numFmtId="167" fontId="1" fillId="28" borderId="183" xfId="35" applyNumberFormat="1" applyFill="1" applyBorder="1"/>
    <xf numFmtId="167" fontId="101" fillId="32" borderId="185" xfId="27" applyNumberFormat="1" applyFont="1" applyFill="1" applyBorder="1"/>
    <xf numFmtId="167" fontId="101" fillId="33" borderId="9" xfId="34" applyNumberFormat="1" applyFont="1" applyFill="1" applyBorder="1"/>
    <xf numFmtId="167" fontId="28" fillId="33" borderId="185" xfId="27" applyNumberFormat="1" applyFill="1" applyBorder="1"/>
    <xf numFmtId="41" fontId="40" fillId="0" borderId="187" xfId="0" applyNumberFormat="1" applyFont="1" applyBorder="1" applyAlignment="1">
      <alignment horizontal="center" wrapText="1"/>
    </xf>
    <xf numFmtId="0" fontId="17" fillId="0" borderId="188" xfId="0" applyFont="1" applyBorder="1" applyAlignment="1">
      <alignment horizontal="center" wrapText="1"/>
    </xf>
    <xf numFmtId="167" fontId="27" fillId="19" borderId="54" xfId="26" applyNumberFormat="1" applyFill="1" applyBorder="1"/>
    <xf numFmtId="167" fontId="53" fillId="19" borderId="54" xfId="24" applyNumberFormat="1" applyFont="1" applyFill="1" applyBorder="1"/>
    <xf numFmtId="41" fontId="30" fillId="28" borderId="5" xfId="29" applyNumberFormat="1" applyFill="1" applyBorder="1" applyAlignment="1">
      <alignment horizontal="right"/>
    </xf>
    <xf numFmtId="167" fontId="53" fillId="19" borderId="9" xfId="24" applyNumberFormat="1" applyFont="1" applyFill="1" applyBorder="1"/>
    <xf numFmtId="41" fontId="40" fillId="0" borderId="189" xfId="0" applyNumberFormat="1" applyFont="1" applyBorder="1" applyAlignment="1">
      <alignment horizontal="center" wrapText="1"/>
    </xf>
    <xf numFmtId="167" fontId="28" fillId="20" borderId="190" xfId="24" applyNumberFormat="1" applyFont="1" applyFill="1" applyBorder="1" applyAlignment="1">
      <alignment horizontal="right"/>
    </xf>
    <xf numFmtId="41" fontId="18" fillId="28" borderId="5" xfId="0" applyNumberFormat="1" applyFont="1" applyFill="1" applyBorder="1" applyAlignment="1">
      <alignment horizontal="right"/>
    </xf>
    <xf numFmtId="167" fontId="53" fillId="19" borderId="54" xfId="24" applyNumberFormat="1" applyFont="1" applyFill="1" applyBorder="1" applyAlignment="1">
      <alignment wrapText="1"/>
    </xf>
    <xf numFmtId="41" fontId="30" fillId="28" borderId="68" xfId="29" applyNumberFormat="1" applyFill="1" applyBorder="1" applyAlignment="1">
      <alignment horizontal="right"/>
    </xf>
    <xf numFmtId="41" fontId="30" fillId="28" borderId="20" xfId="29" applyNumberFormat="1" applyFill="1" applyBorder="1" applyAlignment="1">
      <alignment horizontal="right"/>
    </xf>
    <xf numFmtId="41" fontId="28" fillId="32" borderId="4" xfId="17" applyNumberFormat="1" applyFont="1" applyFill="1" applyBorder="1" applyAlignment="1">
      <alignment horizontal="right"/>
    </xf>
    <xf numFmtId="167" fontId="53" fillId="19" borderId="9" xfId="24" applyNumberFormat="1" applyFont="1" applyFill="1" applyBorder="1" applyAlignment="1">
      <alignment wrapText="1"/>
    </xf>
    <xf numFmtId="0" fontId="0" fillId="19" borderId="54" xfId="0" applyFill="1" applyBorder="1"/>
    <xf numFmtId="167" fontId="28" fillId="19" borderId="54" xfId="27" applyNumberFormat="1" applyFill="1" applyBorder="1"/>
    <xf numFmtId="41" fontId="18" fillId="11" borderId="191" xfId="0" applyNumberFormat="1" applyFont="1" applyFill="1" applyBorder="1"/>
    <xf numFmtId="41" fontId="50" fillId="0" borderId="189" xfId="0" applyNumberFormat="1" applyFont="1" applyBorder="1"/>
    <xf numFmtId="167" fontId="28" fillId="33" borderId="192" xfId="27" applyNumberFormat="1" applyFill="1" applyBorder="1"/>
    <xf numFmtId="41" fontId="48" fillId="0" borderId="187" xfId="0" applyNumberFormat="1" applyFont="1" applyBorder="1" applyAlignment="1">
      <alignment horizontal="center"/>
    </xf>
    <xf numFmtId="44" fontId="28" fillId="33" borderId="193" xfId="24" applyFont="1" applyFill="1" applyBorder="1"/>
    <xf numFmtId="167" fontId="31" fillId="28" borderId="69" xfId="30" applyNumberFormat="1" applyFill="1" applyBorder="1"/>
    <xf numFmtId="44" fontId="31" fillId="28" borderId="69" xfId="30" applyNumberFormat="1" applyFill="1" applyBorder="1"/>
    <xf numFmtId="41" fontId="29" fillId="31" borderId="46" xfId="28" applyNumberFormat="1" applyFill="1" applyBorder="1"/>
    <xf numFmtId="41" fontId="29" fillId="31" borderId="194" xfId="28" applyNumberFormat="1" applyFill="1" applyBorder="1"/>
    <xf numFmtId="0" fontId="29" fillId="31" borderId="46" xfId="28" applyFill="1" applyBorder="1"/>
    <xf numFmtId="41" fontId="29" fillId="31" borderId="46" xfId="28" applyNumberFormat="1" applyFill="1" applyBorder="1" applyAlignment="1"/>
    <xf numFmtId="167" fontId="30" fillId="28" borderId="43" xfId="24" applyNumberFormat="1" applyFont="1" applyFill="1" applyBorder="1"/>
    <xf numFmtId="41" fontId="29" fillId="31" borderId="194" xfId="28" applyNumberFormat="1" applyFill="1" applyBorder="1" applyAlignment="1"/>
    <xf numFmtId="41" fontId="29" fillId="31" borderId="195" xfId="28" applyNumberFormat="1" applyFill="1" applyBorder="1" applyAlignment="1"/>
    <xf numFmtId="41" fontId="29" fillId="31" borderId="69" xfId="28" applyNumberFormat="1" applyFill="1" applyBorder="1" applyAlignment="1"/>
    <xf numFmtId="41" fontId="30" fillId="28" borderId="5" xfId="29" applyNumberFormat="1" applyFill="1" applyBorder="1"/>
    <xf numFmtId="41" fontId="31" fillId="28" borderId="5" xfId="30" applyNumberFormat="1" applyFill="1" applyBorder="1" applyAlignment="1">
      <alignment horizontal="center"/>
    </xf>
    <xf numFmtId="41" fontId="29" fillId="31" borderId="69" xfId="28" applyNumberFormat="1" applyFill="1" applyBorder="1" applyAlignment="1">
      <alignment horizontal="center"/>
    </xf>
    <xf numFmtId="41" fontId="30" fillId="28" borderId="20" xfId="29" applyNumberFormat="1" applyFill="1" applyBorder="1"/>
    <xf numFmtId="167" fontId="97" fillId="26" borderId="184" xfId="26" applyNumberFormat="1" applyFont="1" applyFill="1" applyBorder="1"/>
    <xf numFmtId="0" fontId="137" fillId="0" borderId="2" xfId="0" applyFont="1" applyBorder="1" applyAlignment="1">
      <alignment horizontal="left" vertical="top" wrapText="1"/>
    </xf>
    <xf numFmtId="0" fontId="137" fillId="0" borderId="2" xfId="0" applyFont="1" applyBorder="1" applyAlignment="1">
      <alignment wrapText="1"/>
    </xf>
    <xf numFmtId="0" fontId="137" fillId="0" borderId="2" xfId="0" applyFont="1" applyBorder="1"/>
    <xf numFmtId="0" fontId="138" fillId="0" borderId="0" xfId="0" applyFont="1" applyAlignment="1">
      <alignment wrapText="1"/>
    </xf>
    <xf numFmtId="0" fontId="138" fillId="0" borderId="22" xfId="0" applyFont="1" applyBorder="1" applyAlignment="1">
      <alignment wrapText="1"/>
    </xf>
    <xf numFmtId="0" fontId="138" fillId="0" borderId="30" xfId="0" applyFont="1" applyBorder="1" applyAlignment="1">
      <alignment wrapText="1"/>
    </xf>
    <xf numFmtId="0" fontId="138" fillId="0" borderId="0" xfId="0" applyFont="1"/>
    <xf numFmtId="0" fontId="138" fillId="0" borderId="30" xfId="0" applyFont="1" applyBorder="1"/>
    <xf numFmtId="0" fontId="140" fillId="0" borderId="0" xfId="19" applyFont="1" applyFill="1" applyBorder="1" applyAlignment="1"/>
    <xf numFmtId="0" fontId="140" fillId="0" borderId="0" xfId="18" applyFont="1" applyFill="1" applyBorder="1" applyAlignment="1"/>
    <xf numFmtId="0" fontId="137" fillId="0" borderId="2" xfId="0" applyFont="1" applyBorder="1" applyAlignment="1">
      <alignment vertical="top" wrapText="1"/>
    </xf>
    <xf numFmtId="0" fontId="45" fillId="0" borderId="80" xfId="33" applyFont="1" applyBorder="1" applyAlignment="1">
      <alignment horizontal="center"/>
    </xf>
    <xf numFmtId="0" fontId="45" fillId="0" borderId="27" xfId="33" applyFont="1" applyBorder="1" applyAlignment="1">
      <alignment horizontal="center"/>
    </xf>
    <xf numFmtId="0" fontId="45" fillId="0" borderId="28" xfId="33" applyFont="1" applyBorder="1" applyAlignment="1">
      <alignment horizontal="center"/>
    </xf>
    <xf numFmtId="0" fontId="120" fillId="9" borderId="32" xfId="27" applyFont="1" applyFill="1" applyAlignment="1">
      <alignment horizontal="center" wrapText="1"/>
    </xf>
    <xf numFmtId="0" fontId="69" fillId="0" borderId="2" xfId="32" applyFont="1" applyFill="1" applyBorder="1" applyAlignment="1">
      <alignment horizontal="center" vertical="center" wrapText="1"/>
    </xf>
    <xf numFmtId="0" fontId="129" fillId="0" borderId="2" xfId="32" applyFont="1" applyFill="1" applyBorder="1" applyAlignment="1">
      <alignment horizontal="center" vertical="center" wrapText="1"/>
    </xf>
    <xf numFmtId="0" fontId="69" fillId="9" borderId="3" xfId="28" applyFont="1" applyFill="1" applyBorder="1" applyAlignment="1">
      <alignment horizontal="center"/>
    </xf>
    <xf numFmtId="0" fontId="69" fillId="9" borderId="5" xfId="28" applyFont="1" applyFill="1" applyBorder="1" applyAlignment="1">
      <alignment horizontal="center"/>
    </xf>
    <xf numFmtId="168" fontId="69" fillId="9" borderId="2" xfId="30" applyNumberFormat="1" applyFont="1" applyFill="1" applyBorder="1" applyAlignment="1">
      <alignment horizontal="center"/>
    </xf>
    <xf numFmtId="0" fontId="128" fillId="0" borderId="2" xfId="32" applyFont="1" applyFill="1" applyBorder="1" applyAlignment="1">
      <alignment horizontal="center" vertical="center" wrapText="1"/>
    </xf>
    <xf numFmtId="2" fontId="31" fillId="15" borderId="33" xfId="30" applyNumberFormat="1" applyAlignment="1">
      <alignment horizontal="center" vertical="center" wrapText="1"/>
    </xf>
    <xf numFmtId="0" fontId="69" fillId="0" borderId="177" xfId="32" applyFont="1" applyFill="1" applyBorder="1" applyAlignment="1">
      <alignment horizontal="center" vertical="center" wrapText="1"/>
    </xf>
    <xf numFmtId="0" fontId="69" fillId="0" borderId="178" xfId="32" applyFont="1" applyFill="1" applyBorder="1" applyAlignment="1">
      <alignment horizontal="center" vertical="center" wrapText="1"/>
    </xf>
    <xf numFmtId="0" fontId="69" fillId="0" borderId="179" xfId="32" applyFont="1" applyFill="1" applyBorder="1" applyAlignment="1">
      <alignment horizontal="center" vertical="center" wrapText="1"/>
    </xf>
    <xf numFmtId="44" fontId="31" fillId="15" borderId="3" xfId="21" applyFont="1" applyFill="1" applyBorder="1" applyAlignment="1">
      <alignment horizontal="center" vertical="center"/>
    </xf>
    <xf numFmtId="44" fontId="31" fillId="15" borderId="4" xfId="21" applyFont="1" applyFill="1" applyBorder="1" applyAlignment="1">
      <alignment horizontal="center" vertical="center"/>
    </xf>
    <xf numFmtId="44" fontId="31" fillId="15" borderId="5" xfId="21" applyFont="1" applyFill="1" applyBorder="1" applyAlignment="1">
      <alignment horizontal="center" vertical="center"/>
    </xf>
    <xf numFmtId="0" fontId="128" fillId="9" borderId="2" xfId="28" applyFont="1" applyFill="1" applyBorder="1" applyAlignment="1">
      <alignment horizontal="center"/>
    </xf>
    <xf numFmtId="168" fontId="31" fillId="15" borderId="33" xfId="30" applyNumberFormat="1" applyAlignment="1">
      <alignment horizontal="center"/>
    </xf>
    <xf numFmtId="0" fontId="25" fillId="13" borderId="0" xfId="0" applyFont="1" applyFill="1" applyAlignment="1">
      <alignment horizontal="center" wrapText="1"/>
    </xf>
    <xf numFmtId="0" fontId="25" fillId="36" borderId="0" xfId="0" applyFont="1" applyFill="1" applyAlignment="1">
      <alignment horizontal="center" wrapText="1"/>
    </xf>
    <xf numFmtId="0" fontId="110" fillId="35" borderId="0" xfId="0" applyFont="1" applyFill="1" applyAlignment="1">
      <alignment horizontal="center" wrapText="1"/>
    </xf>
    <xf numFmtId="0" fontId="54" fillId="34" borderId="0" xfId="0" applyFont="1" applyFill="1" applyAlignment="1">
      <alignment horizontal="center" wrapText="1"/>
    </xf>
    <xf numFmtId="0" fontId="54" fillId="10" borderId="0" xfId="0" applyFont="1" applyFill="1" applyAlignment="1">
      <alignment horizontal="center" wrapText="1"/>
    </xf>
    <xf numFmtId="0" fontId="128" fillId="9" borderId="2" xfId="1" applyNumberFormat="1" applyFont="1" applyFill="1" applyBorder="1" applyAlignment="1">
      <alignment horizontal="center"/>
    </xf>
    <xf numFmtId="2" fontId="31" fillId="15" borderId="33" xfId="30" applyNumberFormat="1" applyAlignment="1">
      <alignment horizontal="center"/>
    </xf>
    <xf numFmtId="0" fontId="54" fillId="39" borderId="0" xfId="0" applyFont="1" applyFill="1" applyAlignment="1">
      <alignment horizontal="center" wrapText="1"/>
    </xf>
    <xf numFmtId="0" fontId="124" fillId="40" borderId="0" xfId="37" applyFont="1" applyFill="1" applyAlignment="1">
      <alignment horizontal="center" vertical="center"/>
    </xf>
    <xf numFmtId="0" fontId="27" fillId="0" borderId="31" xfId="26" applyFill="1" applyAlignment="1">
      <alignment horizontal="center"/>
    </xf>
    <xf numFmtId="0" fontId="69" fillId="9" borderId="2" xfId="0" applyFont="1" applyFill="1" applyBorder="1" applyAlignment="1">
      <alignment horizontal="center" wrapText="1"/>
    </xf>
    <xf numFmtId="0" fontId="69" fillId="9" borderId="3" xfId="0" applyFont="1" applyFill="1" applyBorder="1" applyAlignment="1">
      <alignment horizontal="center"/>
    </xf>
    <xf numFmtId="0" fontId="69" fillId="9" borderId="5" xfId="0" applyFont="1" applyFill="1" applyBorder="1" applyAlignment="1">
      <alignment horizontal="center"/>
    </xf>
    <xf numFmtId="10" fontId="34" fillId="0" borderId="22" xfId="33" applyNumberFormat="1" applyFill="1" applyBorder="1" applyAlignment="1">
      <alignment horizontal="center"/>
    </xf>
    <xf numFmtId="0" fontId="5" fillId="0" borderId="132" xfId="0" applyFont="1" applyBorder="1" applyAlignment="1">
      <alignment horizontal="center"/>
    </xf>
    <xf numFmtId="0" fontId="5" fillId="0" borderId="133" xfId="0" applyFont="1" applyBorder="1" applyAlignment="1">
      <alignment horizontal="center"/>
    </xf>
    <xf numFmtId="0" fontId="135" fillId="0" borderId="3" xfId="0" applyFont="1" applyBorder="1" applyAlignment="1">
      <alignment horizontal="center"/>
    </xf>
    <xf numFmtId="0" fontId="135" fillId="0" borderId="5" xfId="0" applyFont="1" applyBorder="1" applyAlignment="1">
      <alignment horizontal="center"/>
    </xf>
    <xf numFmtId="0" fontId="135" fillId="0" borderId="3" xfId="0" applyFont="1" applyBorder="1" applyAlignment="1">
      <alignment horizontal="center" wrapText="1"/>
    </xf>
    <xf numFmtId="0" fontId="135" fillId="0" borderId="5" xfId="0" applyFont="1" applyBorder="1" applyAlignment="1">
      <alignment horizontal="center" wrapText="1"/>
    </xf>
    <xf numFmtId="0" fontId="117" fillId="0" borderId="42" xfId="32" applyFont="1" applyFill="1" applyBorder="1" applyAlignment="1">
      <alignment horizontal="center" vertical="center" wrapText="1"/>
    </xf>
    <xf numFmtId="0" fontId="117" fillId="0" borderId="0" xfId="32" applyFont="1" applyFill="1" applyBorder="1" applyAlignment="1">
      <alignment horizontal="center" vertical="center" wrapText="1"/>
    </xf>
    <xf numFmtId="0" fontId="5" fillId="0" borderId="3"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97" fillId="21" borderId="31" xfId="26" applyFont="1" applyFill="1" applyAlignment="1">
      <alignment horizontal="left" vertical="center"/>
    </xf>
    <xf numFmtId="0" fontId="98" fillId="21" borderId="31" xfId="33" applyFont="1" applyFill="1" applyBorder="1" applyAlignment="1">
      <alignment horizontal="center" vertical="center"/>
    </xf>
    <xf numFmtId="0" fontId="18" fillId="0" borderId="77" xfId="0" applyFont="1" applyBorder="1" applyAlignment="1">
      <alignment horizontal="center" wrapText="1"/>
    </xf>
    <xf numFmtId="0" fontId="73" fillId="33" borderId="76" xfId="36" applyFont="1" applyFill="1" applyBorder="1" applyAlignment="1">
      <alignment horizontal="center" wrapText="1"/>
    </xf>
    <xf numFmtId="9" fontId="33" fillId="33" borderId="79" xfId="32" applyNumberFormat="1" applyFill="1" applyBorder="1" applyAlignment="1">
      <alignment horizontal="center" wrapText="1"/>
    </xf>
    <xf numFmtId="9" fontId="29" fillId="37" borderId="30" xfId="28" applyNumberFormat="1" applyFill="1" applyBorder="1" applyAlignment="1">
      <alignment horizontal="center" wrapText="1"/>
    </xf>
    <xf numFmtId="0" fontId="32" fillId="11" borderId="35" xfId="31" applyFill="1" applyAlignment="1">
      <alignment horizontal="left" vertical="top" wrapText="1"/>
    </xf>
    <xf numFmtId="0" fontId="50" fillId="0" borderId="47" xfId="0" applyFont="1" applyBorder="1" applyAlignment="1">
      <alignment horizontal="center"/>
    </xf>
    <xf numFmtId="0" fontId="99" fillId="21" borderId="6" xfId="25" applyFont="1" applyFill="1" applyAlignment="1">
      <alignment horizontal="left"/>
    </xf>
    <xf numFmtId="0" fontId="33" fillId="0" borderId="42" xfId="32" applyBorder="1" applyAlignment="1">
      <alignment horizontal="center" vertical="center" wrapText="1"/>
    </xf>
    <xf numFmtId="0" fontId="33" fillId="0" borderId="0" xfId="32" applyBorder="1" applyAlignment="1">
      <alignment horizontal="center" vertical="center" wrapText="1"/>
    </xf>
    <xf numFmtId="0" fontId="50" fillId="0" borderId="3" xfId="0" applyFont="1" applyBorder="1" applyAlignment="1">
      <alignment horizontal="center"/>
    </xf>
    <xf numFmtId="0" fontId="50" fillId="0" borderId="5" xfId="0" applyFont="1" applyBorder="1" applyAlignment="1">
      <alignment horizontal="center"/>
    </xf>
    <xf numFmtId="0" fontId="34" fillId="0" borderId="22" xfId="33" applyBorder="1" applyAlignment="1">
      <alignment horizontal="center" vertical="center" wrapText="1"/>
    </xf>
    <xf numFmtId="0" fontId="37" fillId="9" borderId="76" xfId="0" applyFont="1" applyFill="1" applyBorder="1" applyAlignment="1">
      <alignment horizontal="center" wrapText="1"/>
    </xf>
    <xf numFmtId="0" fontId="37" fillId="9" borderId="135" xfId="0" applyFont="1" applyFill="1" applyBorder="1" applyAlignment="1">
      <alignment horizontal="center" wrapText="1"/>
    </xf>
    <xf numFmtId="0" fontId="45" fillId="9" borderId="76" xfId="33" applyFont="1" applyFill="1" applyBorder="1" applyAlignment="1">
      <alignment horizontal="center" wrapText="1"/>
    </xf>
    <xf numFmtId="0" fontId="34" fillId="9" borderId="0" xfId="33" applyFill="1" applyBorder="1" applyAlignment="1">
      <alignment horizontal="center" vertical="center" wrapText="1"/>
    </xf>
    <xf numFmtId="0" fontId="34" fillId="9" borderId="9" xfId="33" applyFill="1" applyBorder="1" applyAlignment="1">
      <alignment horizontal="center" vertical="center" wrapText="1"/>
    </xf>
    <xf numFmtId="0" fontId="33" fillId="0" borderId="84" xfId="32" applyBorder="1" applyAlignment="1">
      <alignment horizontal="center" vertical="center" wrapText="1"/>
    </xf>
    <xf numFmtId="0" fontId="74" fillId="7" borderId="42" xfId="32" applyFont="1" applyFill="1" applyBorder="1" applyAlignment="1">
      <alignment horizontal="center" vertical="center" wrapText="1"/>
    </xf>
    <xf numFmtId="0" fontId="74" fillId="7" borderId="0" xfId="32" applyFont="1" applyFill="1" applyBorder="1" applyAlignment="1">
      <alignment horizontal="center" vertical="center" wrapText="1"/>
    </xf>
    <xf numFmtId="0" fontId="74" fillId="0" borderId="42" xfId="32" applyFont="1" applyBorder="1" applyAlignment="1">
      <alignment horizontal="center" vertical="center" wrapText="1"/>
    </xf>
    <xf numFmtId="0" fontId="74" fillId="0" borderId="0" xfId="32" applyFont="1" applyBorder="1" applyAlignment="1">
      <alignment horizontal="center" vertical="center" wrapText="1"/>
    </xf>
    <xf numFmtId="0" fontId="18" fillId="0" borderId="16" xfId="0" applyFont="1" applyBorder="1" applyAlignment="1">
      <alignment horizontal="center" wrapText="1"/>
    </xf>
    <xf numFmtId="0" fontId="18" fillId="0" borderId="11" xfId="0" applyFont="1" applyBorder="1" applyAlignment="1">
      <alignment horizontal="center" wrapText="1"/>
    </xf>
    <xf numFmtId="0" fontId="18" fillId="0" borderId="109" xfId="0" applyFont="1" applyBorder="1" applyAlignment="1">
      <alignment horizontal="center" wrapText="1"/>
    </xf>
    <xf numFmtId="0" fontId="18" fillId="0" borderId="3" xfId="0" applyFont="1" applyBorder="1" applyAlignment="1">
      <alignment horizontal="center" wrapText="1"/>
    </xf>
    <xf numFmtId="0" fontId="18" fillId="0" borderId="4" xfId="0" applyFont="1" applyBorder="1" applyAlignment="1">
      <alignment horizontal="center" wrapText="1"/>
    </xf>
    <xf numFmtId="0" fontId="18" fillId="0" borderId="5" xfId="0" applyFont="1" applyBorder="1" applyAlignment="1">
      <alignment horizontal="center" wrapText="1"/>
    </xf>
    <xf numFmtId="0" fontId="18" fillId="0" borderId="132" xfId="0" applyFont="1" applyBorder="1" applyAlignment="1">
      <alignment horizontal="center" wrapText="1"/>
    </xf>
    <xf numFmtId="0" fontId="18" fillId="0" borderId="27" xfId="0" applyFont="1" applyBorder="1" applyAlignment="1">
      <alignment horizontal="center" wrapText="1"/>
    </xf>
    <xf numFmtId="0" fontId="18" fillId="0" borderId="133" xfId="0" applyFont="1" applyBorder="1" applyAlignment="1">
      <alignment horizontal="center" wrapText="1"/>
    </xf>
    <xf numFmtId="0" fontId="18" fillId="0" borderId="66" xfId="0" applyFont="1" applyBorder="1" applyAlignment="1">
      <alignment horizontal="center" wrapText="1"/>
    </xf>
    <xf numFmtId="0" fontId="18" fillId="0" borderId="67" xfId="0" applyFont="1" applyBorder="1" applyAlignment="1">
      <alignment horizontal="center" wrapText="1"/>
    </xf>
    <xf numFmtId="0" fontId="18" fillId="0" borderId="68" xfId="0" applyFont="1" applyBorder="1" applyAlignment="1">
      <alignment horizontal="center" wrapText="1"/>
    </xf>
    <xf numFmtId="0" fontId="17" fillId="0" borderId="134" xfId="0" applyFont="1" applyBorder="1" applyAlignment="1">
      <alignment horizontal="center"/>
    </xf>
    <xf numFmtId="0" fontId="17" fillId="0" borderId="47" xfId="0" applyFont="1" applyBorder="1" applyAlignment="1">
      <alignment horizontal="center"/>
    </xf>
    <xf numFmtId="0" fontId="17" fillId="0" borderId="121" xfId="0" applyFont="1" applyBorder="1" applyAlignment="1">
      <alignment horizontal="center"/>
    </xf>
    <xf numFmtId="0" fontId="18" fillId="0" borderId="66" xfId="0" applyFont="1" applyBorder="1" applyAlignment="1">
      <alignment horizontal="center"/>
    </xf>
    <xf numFmtId="0" fontId="18" fillId="0" borderId="67" xfId="0" applyFont="1" applyBorder="1" applyAlignment="1">
      <alignment horizontal="center"/>
    </xf>
    <xf numFmtId="0" fontId="18" fillId="0" borderId="68" xfId="0" applyFont="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28" fillId="32" borderId="0" xfId="38" applyFill="1" applyAlignment="1">
      <alignment horizontal="center"/>
    </xf>
    <xf numFmtId="0" fontId="92" fillId="0" borderId="0" xfId="0" applyFont="1" applyAlignment="1">
      <alignment horizontal="right" vertic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35" fillId="32" borderId="0" xfId="17" applyFont="1" applyFill="1" applyAlignment="1">
      <alignment horizontal="center"/>
    </xf>
    <xf numFmtId="0" fontId="35" fillId="32" borderId="9" xfId="17" applyFont="1" applyFill="1" applyBorder="1" applyAlignment="1">
      <alignment horizontal="center"/>
    </xf>
    <xf numFmtId="0" fontId="28" fillId="33" borderId="0" xfId="20" applyFont="1" applyFill="1" applyAlignment="1">
      <alignment horizontal="left"/>
    </xf>
    <xf numFmtId="0" fontId="28" fillId="33" borderId="9" xfId="20" applyFont="1" applyFill="1" applyBorder="1" applyAlignment="1">
      <alignment horizontal="left"/>
    </xf>
    <xf numFmtId="0" fontId="139" fillId="0" borderId="3" xfId="0" applyFont="1" applyBorder="1" applyAlignment="1">
      <alignment horizontal="center"/>
    </xf>
    <xf numFmtId="0" fontId="139" fillId="0" borderId="4" xfId="0" applyFont="1" applyBorder="1" applyAlignment="1">
      <alignment horizontal="center"/>
    </xf>
    <xf numFmtId="0" fontId="139" fillId="0" borderId="5" xfId="0" applyFont="1" applyBorder="1" applyAlignment="1">
      <alignment horizontal="center"/>
    </xf>
    <xf numFmtId="0" fontId="28" fillId="32" borderId="0" xfId="17" applyFont="1" applyFill="1" applyAlignment="1">
      <alignment horizontal="left"/>
    </xf>
    <xf numFmtId="0" fontId="28" fillId="32" borderId="9" xfId="17" applyFont="1" applyFill="1" applyBorder="1" applyAlignment="1">
      <alignment horizontal="left"/>
    </xf>
    <xf numFmtId="0" fontId="28" fillId="32" borderId="0" xfId="17" applyFont="1" applyFill="1" applyAlignment="1">
      <alignment horizontal="center"/>
    </xf>
    <xf numFmtId="0" fontId="28" fillId="32" borderId="9" xfId="17" applyFont="1" applyFill="1" applyBorder="1" applyAlignment="1">
      <alignment horizontal="center"/>
    </xf>
    <xf numFmtId="0" fontId="35" fillId="33" borderId="0" xfId="20" applyFont="1" applyFill="1" applyAlignment="1">
      <alignment horizontal="left"/>
    </xf>
    <xf numFmtId="0" fontId="35" fillId="33" borderId="9" xfId="20" applyFont="1" applyFill="1" applyBorder="1" applyAlignment="1">
      <alignment horizontal="left"/>
    </xf>
    <xf numFmtId="9" fontId="29" fillId="31" borderId="76" xfId="28" applyNumberFormat="1" applyFill="1" applyBorder="1" applyAlignment="1">
      <alignment horizontal="center" wrapText="1"/>
    </xf>
    <xf numFmtId="0" fontId="20" fillId="0" borderId="0" xfId="19" applyFont="1" applyFill="1" applyBorder="1" applyAlignment="1">
      <alignment horizontal="center"/>
    </xf>
    <xf numFmtId="0" fontId="34" fillId="0" borderId="22" xfId="33" applyFill="1" applyBorder="1" applyAlignment="1">
      <alignment horizontal="center"/>
    </xf>
    <xf numFmtId="0" fontId="20" fillId="0" borderId="0" xfId="18" applyFont="1" applyFill="1" applyBorder="1" applyAlignment="1">
      <alignment horizontal="center"/>
    </xf>
    <xf numFmtId="167" fontId="53" fillId="19" borderId="54" xfId="24" applyNumberFormat="1" applyFont="1" applyFill="1" applyBorder="1" applyAlignment="1">
      <alignment horizontal="center" vertical="center"/>
    </xf>
    <xf numFmtId="1" fontId="28" fillId="32" borderId="0" xfId="38" applyNumberFormat="1" applyFill="1" applyAlignment="1">
      <alignment horizontal="center"/>
    </xf>
    <xf numFmtId="0" fontId="97" fillId="26" borderId="31" xfId="26" applyFont="1" applyFill="1" applyAlignment="1">
      <alignment horizontal="left" vertical="center"/>
    </xf>
    <xf numFmtId="167" fontId="53" fillId="19" borderId="54" xfId="24" applyNumberFormat="1" applyFont="1" applyFill="1" applyBorder="1" applyAlignment="1">
      <alignment horizontal="center"/>
    </xf>
    <xf numFmtId="41" fontId="31" fillId="15" borderId="33" xfId="30" applyNumberFormat="1" applyAlignment="1">
      <alignment horizontal="center"/>
    </xf>
    <xf numFmtId="41" fontId="31" fillId="15" borderId="70" xfId="30" applyNumberFormat="1" applyBorder="1" applyAlignment="1">
      <alignment horizontal="center"/>
    </xf>
    <xf numFmtId="0" fontId="41" fillId="0" borderId="3" xfId="0" applyFont="1" applyBorder="1" applyAlignment="1">
      <alignment horizontal="center"/>
    </xf>
    <xf numFmtId="0" fontId="41" fillId="0" borderId="4" xfId="0" applyFont="1" applyBorder="1" applyAlignment="1">
      <alignment horizontal="center"/>
    </xf>
    <xf numFmtId="0" fontId="41" fillId="0" borderId="5" xfId="0" applyFont="1" applyBorder="1" applyAlignment="1">
      <alignment horizontal="center"/>
    </xf>
    <xf numFmtId="0" fontId="50" fillId="0" borderId="7" xfId="0" applyFont="1" applyBorder="1" applyAlignment="1">
      <alignment horizontal="center"/>
    </xf>
    <xf numFmtId="0" fontId="99" fillId="26" borderId="6" xfId="25" applyFont="1" applyFill="1" applyAlignment="1">
      <alignment horizontal="left" wrapText="1"/>
    </xf>
    <xf numFmtId="41" fontId="30" fillId="15" borderId="53" xfId="29" applyNumberFormat="1" applyBorder="1" applyAlignment="1">
      <alignment horizontal="center"/>
    </xf>
    <xf numFmtId="41" fontId="30" fillId="15" borderId="71" xfId="29" applyNumberFormat="1" applyBorder="1" applyAlignment="1">
      <alignment horizontal="center"/>
    </xf>
    <xf numFmtId="0" fontId="28" fillId="33" borderId="32" xfId="27" applyFill="1" applyAlignment="1">
      <alignment horizontal="left"/>
    </xf>
    <xf numFmtId="41" fontId="30" fillId="15" borderId="64" xfId="29" applyNumberFormat="1" applyBorder="1" applyAlignment="1">
      <alignment horizontal="center"/>
    </xf>
    <xf numFmtId="0" fontId="93" fillId="0" borderId="84" xfId="32" applyFont="1" applyBorder="1" applyAlignment="1">
      <alignment horizontal="center" vertical="center" wrapText="1"/>
    </xf>
    <xf numFmtId="0" fontId="93" fillId="0" borderId="0" xfId="32" applyFont="1" applyBorder="1" applyAlignment="1">
      <alignment horizontal="center" vertical="center" wrapText="1"/>
    </xf>
    <xf numFmtId="0" fontId="97" fillId="26" borderId="184" xfId="26" applyFont="1" applyFill="1" applyBorder="1" applyAlignment="1">
      <alignment horizontal="left" vertical="center"/>
    </xf>
    <xf numFmtId="0" fontId="50" fillId="0" borderId="41" xfId="0" applyFont="1" applyBorder="1" applyAlignment="1">
      <alignment horizontal="center"/>
    </xf>
    <xf numFmtId="0" fontId="50" fillId="0" borderId="42" xfId="0" applyFont="1" applyBorder="1" applyAlignment="1">
      <alignment horizontal="center"/>
    </xf>
    <xf numFmtId="0" fontId="41" fillId="0" borderId="66" xfId="0" applyFont="1" applyBorder="1" applyAlignment="1">
      <alignment horizontal="center"/>
    </xf>
    <xf numFmtId="0" fontId="41" fillId="0" borderId="67" xfId="0" applyFont="1" applyBorder="1" applyAlignment="1">
      <alignment horizontal="center"/>
    </xf>
    <xf numFmtId="0" fontId="41" fillId="0" borderId="68" xfId="0" applyFont="1" applyBorder="1" applyAlignment="1">
      <alignment horizontal="center"/>
    </xf>
    <xf numFmtId="0" fontId="0" fillId="0" borderId="19" xfId="0" applyBorder="1"/>
    <xf numFmtId="0" fontId="0" fillId="0" borderId="7" xfId="0" applyBorder="1"/>
    <xf numFmtId="0" fontId="0" fillId="0" borderId="20" xfId="0" applyBorder="1"/>
    <xf numFmtId="0" fontId="41" fillId="0" borderId="18"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18" fillId="0" borderId="2" xfId="0" applyFont="1" applyBorder="1" applyAlignment="1">
      <alignment horizontal="center" wrapText="1"/>
    </xf>
    <xf numFmtId="0" fontId="18" fillId="0" borderId="52" xfId="0" applyFont="1" applyBorder="1" applyAlignment="1">
      <alignment horizontal="center" wrapText="1"/>
    </xf>
    <xf numFmtId="0" fontId="50" fillId="0" borderId="0" xfId="0" applyFont="1" applyAlignment="1">
      <alignment horizontal="center"/>
    </xf>
    <xf numFmtId="0" fontId="41" fillId="0" borderId="0" xfId="2" applyFont="1" applyAlignment="1">
      <alignment horizontal="center" wrapText="1"/>
    </xf>
    <xf numFmtId="0" fontId="73" fillId="20" borderId="76" xfId="36" applyFont="1" applyFill="1" applyBorder="1" applyAlignment="1">
      <alignment horizontal="center" wrapText="1"/>
    </xf>
    <xf numFmtId="0" fontId="99" fillId="26" borderId="6" xfId="25" applyFont="1" applyFill="1" applyAlignment="1">
      <alignment horizontal="left"/>
    </xf>
    <xf numFmtId="0" fontId="99" fillId="26" borderId="186" xfId="25" applyFont="1" applyFill="1" applyBorder="1" applyAlignment="1">
      <alignment horizontal="left"/>
    </xf>
    <xf numFmtId="0" fontId="20" fillId="0" borderId="40" xfId="18" applyFont="1" applyFill="1" applyBorder="1" applyAlignment="1">
      <alignment horizontal="center"/>
    </xf>
    <xf numFmtId="0" fontId="41" fillId="0" borderId="3" xfId="2" applyFont="1" applyBorder="1" applyAlignment="1">
      <alignment horizontal="center" wrapText="1"/>
    </xf>
    <xf numFmtId="0" fontId="41" fillId="0" borderId="4" xfId="2" applyFont="1" applyBorder="1" applyAlignment="1">
      <alignment horizontal="center" wrapText="1"/>
    </xf>
    <xf numFmtId="0" fontId="41" fillId="0" borderId="5" xfId="2" applyFont="1" applyBorder="1" applyAlignment="1">
      <alignment horizontal="center" wrapText="1"/>
    </xf>
    <xf numFmtId="0" fontId="41" fillId="0" borderId="66" xfId="2" applyFont="1" applyBorder="1" applyAlignment="1">
      <alignment horizontal="center" wrapText="1"/>
    </xf>
    <xf numFmtId="0" fontId="41" fillId="0" borderId="67" xfId="2" applyFont="1" applyBorder="1" applyAlignment="1">
      <alignment horizontal="center" wrapText="1"/>
    </xf>
    <xf numFmtId="0" fontId="41" fillId="0" borderId="68" xfId="2" applyFont="1" applyBorder="1" applyAlignment="1">
      <alignment horizontal="center" wrapText="1"/>
    </xf>
    <xf numFmtId="0" fontId="41" fillId="0" borderId="19" xfId="2" applyFont="1" applyBorder="1" applyAlignment="1">
      <alignment horizontal="center" wrapText="1"/>
    </xf>
    <xf numFmtId="0" fontId="41" fillId="0" borderId="7" xfId="2" applyFont="1" applyBorder="1" applyAlignment="1">
      <alignment horizontal="center" wrapText="1"/>
    </xf>
    <xf numFmtId="0" fontId="41" fillId="0" borderId="20" xfId="2" applyFont="1" applyBorder="1" applyAlignment="1">
      <alignment horizontal="center" wrapText="1"/>
    </xf>
    <xf numFmtId="0" fontId="50" fillId="0" borderId="52" xfId="0" applyFont="1" applyBorder="1" applyAlignment="1">
      <alignment horizontal="center"/>
    </xf>
    <xf numFmtId="0" fontId="97" fillId="26" borderId="31" xfId="26" applyFont="1" applyFill="1" applyAlignment="1"/>
    <xf numFmtId="0" fontId="101" fillId="32" borderId="32" xfId="27" applyFont="1" applyFill="1" applyAlignment="1">
      <alignment horizontal="left" wrapText="1"/>
    </xf>
    <xf numFmtId="0" fontId="16" fillId="28" borderId="77" xfId="35" applyFont="1" applyFill="1" applyBorder="1" applyAlignment="1">
      <alignment horizontal="left" wrapText="1"/>
    </xf>
    <xf numFmtId="0" fontId="50" fillId="0" borderId="0" xfId="0" applyFont="1" applyAlignment="1">
      <alignment horizontal="left"/>
    </xf>
    <xf numFmtId="0" fontId="47" fillId="0" borderId="0" xfId="0" applyFont="1" applyAlignment="1">
      <alignment horizontal="left" wrapText="1"/>
    </xf>
    <xf numFmtId="0" fontId="48" fillId="0" borderId="0" xfId="0" applyFont="1" applyAlignment="1">
      <alignment horizontal="left" wrapText="1"/>
    </xf>
    <xf numFmtId="167" fontId="30" fillId="15" borderId="53" xfId="29" applyNumberFormat="1" applyBorder="1" applyAlignment="1">
      <alignment horizontal="center" vertical="center"/>
    </xf>
    <xf numFmtId="167" fontId="30" fillId="15" borderId="71" xfId="29" applyNumberFormat="1" applyBorder="1" applyAlignment="1">
      <alignment horizontal="center" vertical="center"/>
    </xf>
    <xf numFmtId="167" fontId="30" fillId="15" borderId="60" xfId="29" applyNumberFormat="1" applyBorder="1" applyAlignment="1">
      <alignment horizontal="center" vertical="center"/>
    </xf>
    <xf numFmtId="0" fontId="18" fillId="0" borderId="2" xfId="0" applyFont="1" applyBorder="1" applyAlignment="1">
      <alignment horizontal="left" vertical="center"/>
    </xf>
    <xf numFmtId="0" fontId="18" fillId="0" borderId="25" xfId="0" applyFont="1" applyBorder="1" applyAlignment="1">
      <alignment horizontal="left" vertical="center"/>
    </xf>
    <xf numFmtId="0" fontId="35" fillId="20" borderId="76" xfId="36" applyFont="1" applyFill="1" applyBorder="1" applyAlignment="1">
      <alignment horizontal="left" wrapText="1"/>
    </xf>
    <xf numFmtId="9" fontId="33" fillId="20" borderId="79" xfId="32" applyNumberFormat="1" applyFill="1" applyBorder="1" applyAlignment="1">
      <alignment horizontal="center" wrapText="1"/>
    </xf>
    <xf numFmtId="44" fontId="101" fillId="33" borderId="0" xfId="34" applyNumberFormat="1" applyFont="1" applyFill="1" applyAlignment="1">
      <alignment horizontal="left"/>
    </xf>
    <xf numFmtId="0" fontId="18" fillId="0" borderId="2" xfId="0" applyFont="1" applyBorder="1" applyAlignment="1">
      <alignment horizontal="center"/>
    </xf>
    <xf numFmtId="0" fontId="134" fillId="0" borderId="2" xfId="0" applyFont="1" applyBorder="1" applyAlignment="1">
      <alignment horizontal="left"/>
    </xf>
    <xf numFmtId="0" fontId="44" fillId="0" borderId="2" xfId="0" applyFont="1" applyBorder="1" applyAlignment="1">
      <alignment horizontal="left" wrapText="1"/>
    </xf>
    <xf numFmtId="0" fontId="18" fillId="0" borderId="63" xfId="0" applyFont="1" applyBorder="1" applyAlignment="1">
      <alignment horizontal="center" wrapText="1"/>
    </xf>
    <xf numFmtId="0" fontId="134" fillId="0" borderId="3" xfId="0" applyFont="1" applyBorder="1" applyAlignment="1">
      <alignment horizontal="left" wrapText="1"/>
    </xf>
    <xf numFmtId="0" fontId="134" fillId="0" borderId="5" xfId="0" applyFont="1" applyBorder="1" applyAlignment="1">
      <alignment horizontal="left" wrapText="1"/>
    </xf>
    <xf numFmtId="0" fontId="0" fillId="0" borderId="0" xfId="0"/>
    <xf numFmtId="0" fontId="93" fillId="0" borderId="42" xfId="32" applyFont="1" applyBorder="1" applyAlignment="1">
      <alignment horizontal="center" vertical="center" wrapText="1"/>
    </xf>
    <xf numFmtId="0" fontId="32" fillId="0" borderId="35" xfId="31" applyAlignment="1">
      <alignment horizontal="left"/>
    </xf>
    <xf numFmtId="0" fontId="98" fillId="26" borderId="31" xfId="33" applyFont="1" applyFill="1" applyBorder="1" applyAlignment="1">
      <alignment horizontal="center" vertical="center"/>
    </xf>
    <xf numFmtId="0" fontId="98" fillId="26" borderId="184" xfId="33" applyFont="1" applyFill="1" applyBorder="1" applyAlignment="1">
      <alignment horizontal="center" vertical="center"/>
    </xf>
    <xf numFmtId="0" fontId="93" fillId="0" borderId="42" xfId="32" applyFont="1" applyFill="1" applyBorder="1" applyAlignment="1">
      <alignment horizontal="center" vertical="center" wrapText="1"/>
    </xf>
    <xf numFmtId="0" fontId="93" fillId="0" borderId="0" xfId="32" applyFont="1" applyFill="1" applyBorder="1" applyAlignment="1">
      <alignment horizontal="center" vertical="center" wrapText="1"/>
    </xf>
    <xf numFmtId="0" fontId="74" fillId="7" borderId="41" xfId="32" applyFont="1" applyFill="1" applyBorder="1" applyAlignment="1">
      <alignment horizontal="center" vertical="center" wrapText="1"/>
    </xf>
    <xf numFmtId="0" fontId="74" fillId="7" borderId="18" xfId="32" applyFont="1" applyFill="1" applyBorder="1" applyAlignment="1">
      <alignment horizontal="center" vertical="center" wrapText="1"/>
    </xf>
    <xf numFmtId="0" fontId="74" fillId="0" borderId="0" xfId="32" applyFont="1" applyAlignment="1">
      <alignment horizontal="center" vertical="center" wrapText="1"/>
    </xf>
    <xf numFmtId="0" fontId="28" fillId="20" borderId="0" xfId="38" applyFill="1" applyAlignment="1">
      <alignment horizontal="left"/>
    </xf>
    <xf numFmtId="0" fontId="28" fillId="32" borderId="0" xfId="38" applyFill="1" applyBorder="1" applyAlignment="1">
      <alignment horizontal="center"/>
    </xf>
    <xf numFmtId="0" fontId="109" fillId="0" borderId="0" xfId="0" applyFont="1" applyAlignment="1">
      <alignment horizontal="center"/>
    </xf>
    <xf numFmtId="0" fontId="5" fillId="0" borderId="2" xfId="0" applyFont="1" applyBorder="1" applyAlignment="1">
      <alignment horizontal="left"/>
    </xf>
    <xf numFmtId="0" fontId="89" fillId="0" borderId="0" xfId="0" applyFont="1" applyAlignment="1">
      <alignment horizontal="left"/>
    </xf>
    <xf numFmtId="0" fontId="90" fillId="31" borderId="7" xfId="28" applyFont="1" applyFill="1" applyBorder="1" applyAlignment="1">
      <alignment horizontal="center"/>
    </xf>
    <xf numFmtId="0" fontId="90" fillId="31" borderId="4" xfId="28" applyFont="1" applyFill="1" applyBorder="1" applyAlignment="1">
      <alignment horizontal="center"/>
    </xf>
    <xf numFmtId="41" fontId="31" fillId="28" borderId="112" xfId="30" applyNumberFormat="1" applyFill="1" applyBorder="1" applyAlignment="1">
      <alignment horizontal="center"/>
    </xf>
    <xf numFmtId="41" fontId="31" fillId="28" borderId="111" xfId="30" applyNumberFormat="1" applyFill="1" applyBorder="1" applyAlignment="1">
      <alignment horizontal="center"/>
    </xf>
    <xf numFmtId="41" fontId="30" fillId="28" borderId="64" xfId="29" applyNumberFormat="1" applyFill="1" applyBorder="1" applyAlignment="1">
      <alignment horizontal="center"/>
    </xf>
    <xf numFmtId="41" fontId="30" fillId="28" borderId="71" xfId="29" applyNumberFormat="1" applyFill="1" applyBorder="1" applyAlignment="1">
      <alignment horizontal="center"/>
    </xf>
    <xf numFmtId="41" fontId="30" fillId="28" borderId="65" xfId="29" applyNumberFormat="1" applyFill="1" applyBorder="1" applyAlignment="1">
      <alignment horizontal="center" vertical="center"/>
    </xf>
    <xf numFmtId="41" fontId="30" fillId="28" borderId="54" xfId="29" applyNumberFormat="1" applyFill="1" applyBorder="1" applyAlignment="1">
      <alignment horizontal="center" vertical="center"/>
    </xf>
    <xf numFmtId="41" fontId="30" fillId="28" borderId="60" xfId="29" applyNumberFormat="1" applyFill="1" applyBorder="1" applyAlignment="1">
      <alignment horizontal="center" vertical="center"/>
    </xf>
    <xf numFmtId="41" fontId="30" fillId="28" borderId="56" xfId="29" applyNumberFormat="1" applyFill="1" applyBorder="1" applyAlignment="1">
      <alignment horizontal="center" vertical="center"/>
    </xf>
    <xf numFmtId="0" fontId="18" fillId="0" borderId="84" xfId="0" applyFont="1" applyBorder="1" applyAlignment="1">
      <alignment horizontal="center"/>
    </xf>
    <xf numFmtId="0" fontId="18" fillId="0" borderId="0" xfId="0" applyFont="1" applyAlignment="1">
      <alignment horizontal="center"/>
    </xf>
    <xf numFmtId="41" fontId="31" fillId="28" borderId="46" xfId="30" applyNumberFormat="1" applyFill="1" applyBorder="1" applyAlignment="1">
      <alignment horizontal="center"/>
    </xf>
    <xf numFmtId="41" fontId="31" fillId="28" borderId="69" xfId="30" applyNumberFormat="1" applyFill="1" applyBorder="1" applyAlignment="1">
      <alignment horizontal="center"/>
    </xf>
    <xf numFmtId="41" fontId="30" fillId="28" borderId="53" xfId="29" applyNumberFormat="1" applyFill="1" applyBorder="1" applyAlignment="1">
      <alignment horizontal="center"/>
    </xf>
    <xf numFmtId="0" fontId="6" fillId="9" borderId="76" xfId="0" applyFont="1" applyFill="1" applyBorder="1" applyAlignment="1">
      <alignment horizontal="center" wrapText="1"/>
    </xf>
    <xf numFmtId="0" fontId="97" fillId="21" borderId="31" xfId="26" applyFont="1" applyFill="1" applyAlignment="1">
      <alignment horizontal="center"/>
    </xf>
    <xf numFmtId="0" fontId="17" fillId="33" borderId="76" xfId="0" applyFont="1" applyFill="1" applyBorder="1" applyAlignment="1">
      <alignment horizontal="center" wrapText="1"/>
    </xf>
    <xf numFmtId="44" fontId="18" fillId="28" borderId="56" xfId="24" applyFont="1" applyFill="1" applyBorder="1" applyAlignment="1">
      <alignment horizontal="center" vertical="center"/>
    </xf>
    <xf numFmtId="44" fontId="18" fillId="28" borderId="54" xfId="24" applyFont="1" applyFill="1" applyBorder="1" applyAlignment="1">
      <alignment horizontal="center" vertical="center"/>
    </xf>
    <xf numFmtId="44" fontId="18" fillId="28" borderId="159" xfId="24" applyFont="1" applyFill="1" applyBorder="1" applyAlignment="1">
      <alignment horizontal="center" vertical="center"/>
    </xf>
    <xf numFmtId="0" fontId="28" fillId="33" borderId="0" xfId="17" applyFont="1" applyFill="1" applyBorder="1" applyAlignment="1">
      <alignment horizontal="left"/>
    </xf>
    <xf numFmtId="0" fontId="28" fillId="33" borderId="9" xfId="17" applyFont="1" applyFill="1" applyBorder="1" applyAlignment="1">
      <alignment horizontal="left"/>
    </xf>
    <xf numFmtId="0" fontId="101" fillId="32" borderId="0" xfId="17" applyFont="1" applyFill="1" applyBorder="1" applyAlignment="1">
      <alignment horizontal="left" wrapText="1"/>
    </xf>
    <xf numFmtId="0" fontId="101" fillId="32" borderId="9" xfId="17" applyFont="1" applyFill="1" applyBorder="1" applyAlignment="1">
      <alignment horizontal="left" wrapText="1"/>
    </xf>
    <xf numFmtId="0" fontId="101" fillId="33" borderId="0" xfId="20" applyFont="1" applyFill="1" applyAlignment="1">
      <alignment horizontal="left"/>
    </xf>
    <xf numFmtId="0" fontId="101" fillId="33" borderId="9" xfId="20" applyFont="1" applyFill="1" applyBorder="1" applyAlignment="1">
      <alignment horizontal="left"/>
    </xf>
    <xf numFmtId="0" fontId="44" fillId="0" borderId="3" xfId="0" applyFont="1" applyBorder="1" applyAlignment="1">
      <alignment horizontal="center" wrapText="1"/>
    </xf>
    <xf numFmtId="0" fontId="44" fillId="0" borderId="4" xfId="0" applyFont="1" applyBorder="1" applyAlignment="1">
      <alignment horizontal="center" wrapText="1"/>
    </xf>
    <xf numFmtId="0" fontId="44" fillId="0" borderId="5" xfId="0" applyFont="1" applyBorder="1" applyAlignment="1">
      <alignment horizontal="center" wrapText="1"/>
    </xf>
    <xf numFmtId="0" fontId="18" fillId="0" borderId="132" xfId="0" applyFont="1" applyBorder="1" applyAlignment="1">
      <alignment horizontal="center"/>
    </xf>
    <xf numFmtId="0" fontId="18" fillId="0" borderId="27" xfId="0" applyFont="1" applyBorder="1" applyAlignment="1">
      <alignment horizontal="center"/>
    </xf>
    <xf numFmtId="0" fontId="18" fillId="0" borderId="133" xfId="0" applyFont="1" applyBorder="1" applyAlignment="1">
      <alignment horizontal="center"/>
    </xf>
    <xf numFmtId="167" fontId="1" fillId="11" borderId="98" xfId="36" applyNumberFormat="1" applyFill="1" applyBorder="1" applyAlignment="1" applyProtection="1">
      <alignment horizontal="center" vertical="center"/>
    </xf>
    <xf numFmtId="167" fontId="1" fillId="11" borderId="7" xfId="36" applyNumberFormat="1" applyFill="1" applyBorder="1" applyAlignment="1" applyProtection="1">
      <alignment horizontal="right" vertical="center"/>
    </xf>
    <xf numFmtId="167" fontId="1" fillId="11" borderId="98" xfId="36" applyNumberFormat="1" applyFill="1" applyBorder="1" applyAlignment="1" applyProtection="1">
      <alignment horizontal="right" vertical="center"/>
    </xf>
    <xf numFmtId="167" fontId="79" fillId="20" borderId="44" xfId="29" applyNumberFormat="1" applyFont="1" applyFill="1" applyBorder="1" applyAlignment="1" applyProtection="1">
      <alignment horizontal="right" vertical="center"/>
    </xf>
    <xf numFmtId="167" fontId="79" fillId="20" borderId="34" xfId="29" applyNumberFormat="1" applyFont="1" applyFill="1" applyAlignment="1">
      <alignment horizontal="center" vertical="center"/>
    </xf>
    <xf numFmtId="0" fontId="79" fillId="20" borderId="34" xfId="29" applyFont="1" applyFill="1" applyAlignment="1">
      <alignment horizontal="center" vertical="center"/>
    </xf>
    <xf numFmtId="0" fontId="78" fillId="0" borderId="3" xfId="0" applyFont="1" applyBorder="1" applyAlignment="1">
      <alignment horizontal="left" vertical="center" wrapText="1"/>
    </xf>
    <xf numFmtId="0" fontId="78" fillId="0" borderId="4" xfId="0" applyFont="1" applyBorder="1" applyAlignment="1">
      <alignment horizontal="left" vertical="center" wrapText="1"/>
    </xf>
    <xf numFmtId="0" fontId="78" fillId="0" borderId="5" xfId="0" applyFont="1" applyBorder="1" applyAlignment="1">
      <alignment horizontal="left" vertical="center" wrapText="1"/>
    </xf>
    <xf numFmtId="167" fontId="79" fillId="20" borderId="34" xfId="29" applyNumberFormat="1" applyFont="1" applyFill="1" applyAlignment="1" applyProtection="1">
      <alignment horizontal="right" vertical="center"/>
    </xf>
    <xf numFmtId="0" fontId="75" fillId="0" borderId="4" xfId="0" applyFont="1" applyBorder="1" applyAlignment="1">
      <alignment horizontal="right" vertical="center" wrapText="1"/>
    </xf>
    <xf numFmtId="167" fontId="30" fillId="20" borderId="107" xfId="29" applyNumberFormat="1" applyFill="1" applyBorder="1" applyAlignment="1" applyProtection="1">
      <alignment horizontal="right" vertical="center"/>
    </xf>
    <xf numFmtId="167" fontId="79" fillId="20" borderId="156" xfId="29" applyNumberFormat="1" applyFont="1" applyFill="1" applyBorder="1" applyAlignment="1" applyProtection="1">
      <alignment horizontal="center" vertical="center"/>
    </xf>
    <xf numFmtId="167" fontId="79" fillId="20" borderId="157" xfId="29" applyNumberFormat="1" applyFont="1" applyFill="1" applyBorder="1" applyAlignment="1" applyProtection="1">
      <alignment horizontal="center" vertical="center"/>
    </xf>
    <xf numFmtId="167" fontId="79" fillId="20" borderId="43" xfId="29" applyNumberFormat="1" applyFont="1" applyFill="1" applyBorder="1" applyAlignment="1" applyProtection="1">
      <alignment horizontal="center" vertical="center"/>
    </xf>
    <xf numFmtId="166" fontId="77" fillId="11" borderId="93" xfId="29" applyNumberFormat="1" applyFont="1" applyFill="1" applyBorder="1" applyAlignment="1" applyProtection="1">
      <alignment horizontal="right" vertical="center"/>
    </xf>
    <xf numFmtId="0" fontId="40" fillId="0" borderId="88" xfId="0" applyFont="1" applyBorder="1" applyAlignment="1">
      <alignment horizontal="left" vertical="center" wrapText="1"/>
    </xf>
    <xf numFmtId="0" fontId="40" fillId="0" borderId="89" xfId="0" applyFont="1" applyBorder="1" applyAlignment="1">
      <alignment horizontal="left" vertical="center" wrapText="1"/>
    </xf>
    <xf numFmtId="166" fontId="30" fillId="20" borderId="114" xfId="29" applyNumberFormat="1" applyFill="1" applyBorder="1" applyAlignment="1" applyProtection="1">
      <alignment horizontal="right" vertical="center"/>
    </xf>
    <xf numFmtId="0" fontId="76" fillId="0" borderId="14" xfId="0" applyFont="1" applyBorder="1" applyAlignment="1">
      <alignment horizontal="right" vertical="center" wrapText="1"/>
    </xf>
    <xf numFmtId="166" fontId="77" fillId="15" borderId="93" xfId="29" applyNumberFormat="1" applyFont="1" applyBorder="1" applyAlignment="1" applyProtection="1">
      <alignment horizontal="right" vertical="center"/>
    </xf>
    <xf numFmtId="166" fontId="77" fillId="15" borderId="107" xfId="29" applyNumberFormat="1" applyFont="1" applyBorder="1" applyAlignment="1" applyProtection="1">
      <alignment horizontal="right" vertical="center"/>
    </xf>
    <xf numFmtId="0" fontId="76" fillId="0" borderId="116" xfId="0" applyFont="1" applyBorder="1" applyAlignment="1">
      <alignment horizontal="right" vertical="center" wrapText="1"/>
    </xf>
    <xf numFmtId="0" fontId="76" fillId="0" borderId="15" xfId="0" applyFont="1" applyBorder="1" applyAlignment="1">
      <alignment horizontal="right" vertical="center" wrapText="1"/>
    </xf>
    <xf numFmtId="0" fontId="76" fillId="0" borderId="17" xfId="0" applyFont="1" applyBorder="1" applyAlignment="1">
      <alignment horizontal="right" vertical="center" wrapText="1"/>
    </xf>
    <xf numFmtId="166" fontId="77" fillId="11" borderId="107" xfId="29" applyNumberFormat="1" applyFont="1" applyFill="1" applyBorder="1" applyAlignment="1" applyProtection="1">
      <alignment horizontal="right" vertical="center"/>
    </xf>
    <xf numFmtId="166" fontId="77" fillId="15" borderId="100" xfId="29" applyNumberFormat="1" applyFont="1" applyBorder="1" applyAlignment="1" applyProtection="1">
      <alignment horizontal="center" vertical="center"/>
    </xf>
    <xf numFmtId="166" fontId="77" fillId="15" borderId="13" xfId="29" applyNumberFormat="1" applyFont="1" applyBorder="1" applyAlignment="1" applyProtection="1">
      <alignment horizontal="center" vertical="center"/>
    </xf>
    <xf numFmtId="166" fontId="77" fillId="15" borderId="101" xfId="29" applyNumberFormat="1" applyFont="1" applyBorder="1" applyAlignment="1" applyProtection="1">
      <alignment horizontal="center" vertical="center"/>
    </xf>
    <xf numFmtId="0" fontId="40" fillId="0" borderId="4" xfId="0" applyFont="1" applyBorder="1" applyAlignment="1">
      <alignment horizontal="center" vertical="center" wrapText="1"/>
    </xf>
    <xf numFmtId="0" fontId="76" fillId="0" borderId="87" xfId="0" applyFont="1" applyBorder="1" applyAlignment="1">
      <alignment horizontal="right" vertical="center" wrapText="1"/>
    </xf>
    <xf numFmtId="167" fontId="30" fillId="20" borderId="99" xfId="29" applyNumberFormat="1" applyFill="1" applyBorder="1" applyAlignment="1">
      <alignment horizontal="center" vertical="center"/>
    </xf>
    <xf numFmtId="0" fontId="30" fillId="20" borderId="99" xfId="29" applyFill="1" applyBorder="1" applyAlignment="1">
      <alignment horizontal="center" vertical="center"/>
    </xf>
    <xf numFmtId="0" fontId="75" fillId="0" borderId="88" xfId="0" applyFont="1" applyBorder="1" applyAlignment="1">
      <alignment horizontal="right" vertical="center" wrapText="1"/>
    </xf>
    <xf numFmtId="0" fontId="81" fillId="0" borderId="136" xfId="0" applyFont="1" applyBorder="1" applyAlignment="1">
      <alignment horizontal="right" vertical="center" wrapText="1"/>
    </xf>
    <xf numFmtId="0" fontId="81" fillId="0" borderId="12" xfId="0" applyFont="1" applyBorder="1" applyAlignment="1">
      <alignment horizontal="right" vertical="center" wrapText="1"/>
    </xf>
    <xf numFmtId="0" fontId="81" fillId="0" borderId="137" xfId="0" applyFont="1" applyBorder="1" applyAlignment="1">
      <alignment horizontal="right" vertical="center" wrapText="1"/>
    </xf>
    <xf numFmtId="167" fontId="30" fillId="20" borderId="138" xfId="29" applyNumberFormat="1" applyFill="1" applyBorder="1" applyAlignment="1" applyProtection="1">
      <alignment horizontal="right" vertical="center"/>
    </xf>
    <xf numFmtId="167" fontId="30" fillId="20" borderId="99" xfId="29" applyNumberFormat="1" applyFill="1" applyBorder="1" applyAlignment="1" applyProtection="1">
      <alignment horizontal="right" vertical="center"/>
    </xf>
    <xf numFmtId="167" fontId="30" fillId="20" borderId="44" xfId="29" applyNumberFormat="1" applyFill="1" applyBorder="1" applyAlignment="1" applyProtection="1">
      <alignment horizontal="right" vertical="center"/>
    </xf>
    <xf numFmtId="9" fontId="1" fillId="11" borderId="104" xfId="36" applyNumberFormat="1" applyFill="1" applyBorder="1" applyAlignment="1">
      <alignment horizontal="center" vertical="center"/>
    </xf>
    <xf numFmtId="0" fontId="21" fillId="0" borderId="0" xfId="0" applyFont="1" applyAlignment="1">
      <alignment horizontal="center" vertical="center" wrapText="1"/>
    </xf>
    <xf numFmtId="167" fontId="79" fillId="20" borderId="34" xfId="29" applyNumberFormat="1" applyFont="1" applyFill="1" applyAlignment="1" applyProtection="1">
      <alignment horizontal="center" vertical="center"/>
    </xf>
    <xf numFmtId="167" fontId="79" fillId="20" borderId="120" xfId="29" applyNumberFormat="1" applyFont="1" applyFill="1" applyBorder="1" applyAlignment="1" applyProtection="1">
      <alignment horizontal="center" vertical="center"/>
    </xf>
    <xf numFmtId="167" fontId="79" fillId="20" borderId="98" xfId="29" applyNumberFormat="1" applyFont="1" applyFill="1" applyBorder="1" applyAlignment="1" applyProtection="1">
      <alignment horizontal="center" vertical="center"/>
    </xf>
    <xf numFmtId="167" fontId="79" fillId="20" borderId="118" xfId="29" applyNumberFormat="1" applyFont="1" applyFill="1" applyBorder="1" applyAlignment="1" applyProtection="1">
      <alignment horizontal="center" vertical="center"/>
    </xf>
    <xf numFmtId="167" fontId="79" fillId="20" borderId="117" xfId="29" applyNumberFormat="1" applyFont="1" applyFill="1" applyBorder="1" applyAlignment="1" applyProtection="1">
      <alignment horizontal="center" vertical="center"/>
    </xf>
    <xf numFmtId="0" fontId="0" fillId="0" borderId="0" xfId="0" applyAlignment="1">
      <alignment horizontal="center"/>
    </xf>
    <xf numFmtId="9" fontId="1" fillId="11" borderId="0" xfId="36" applyNumberFormat="1" applyFill="1" applyBorder="1" applyAlignment="1" applyProtection="1">
      <alignment horizontal="center" vertical="center"/>
    </xf>
    <xf numFmtId="9" fontId="1" fillId="11" borderId="104" xfId="36" applyNumberFormat="1" applyFill="1" applyBorder="1" applyAlignment="1" applyProtection="1">
      <alignment horizontal="center" vertical="center"/>
    </xf>
    <xf numFmtId="0" fontId="78" fillId="0" borderId="19" xfId="0" applyFont="1" applyBorder="1" applyAlignment="1">
      <alignment horizontal="left" vertical="center" wrapText="1"/>
    </xf>
    <xf numFmtId="0" fontId="78" fillId="0" borderId="7" xfId="0" applyFont="1" applyBorder="1" applyAlignment="1">
      <alignment horizontal="left" vertical="center" wrapText="1"/>
    </xf>
    <xf numFmtId="0" fontId="78" fillId="0" borderId="115" xfId="0" applyFont="1" applyBorder="1" applyAlignment="1">
      <alignment horizontal="left" vertical="center" wrapText="1"/>
    </xf>
    <xf numFmtId="166" fontId="30" fillId="20" borderId="49" xfId="29" applyNumberFormat="1" applyFill="1" applyBorder="1" applyAlignment="1" applyProtection="1">
      <alignment horizontal="right" vertical="center"/>
    </xf>
    <xf numFmtId="0" fontId="40" fillId="0" borderId="14" xfId="0" applyFont="1" applyBorder="1" applyAlignment="1">
      <alignment horizontal="left" vertical="center" wrapText="1"/>
    </xf>
    <xf numFmtId="166" fontId="30" fillId="20" borderId="95" xfId="29" applyNumberFormat="1" applyFill="1" applyBorder="1" applyAlignment="1" applyProtection="1">
      <alignment horizontal="right" vertical="center"/>
    </xf>
    <xf numFmtId="166" fontId="30" fillId="20" borderId="34" xfId="29" applyNumberFormat="1" applyFill="1" applyAlignment="1" applyProtection="1">
      <alignment horizontal="right" vertical="center"/>
    </xf>
    <xf numFmtId="0" fontId="40" fillId="0" borderId="13" xfId="0" applyFont="1" applyBorder="1" applyAlignment="1">
      <alignment horizontal="left" vertical="center" wrapText="1"/>
    </xf>
    <xf numFmtId="166" fontId="77" fillId="15" borderId="106" xfId="29" applyNumberFormat="1" applyFont="1" applyBorder="1" applyAlignment="1" applyProtection="1">
      <alignment horizontal="center" vertical="center"/>
    </xf>
    <xf numFmtId="166" fontId="77" fillId="15" borderId="0" xfId="29" applyNumberFormat="1" applyFont="1" applyBorder="1" applyAlignment="1" applyProtection="1">
      <alignment horizontal="center" vertical="center"/>
    </xf>
    <xf numFmtId="166" fontId="77" fillId="15" borderId="85" xfId="29" applyNumberFormat="1" applyFont="1" applyBorder="1" applyAlignment="1" applyProtection="1">
      <alignment horizontal="center" vertical="center"/>
    </xf>
    <xf numFmtId="166" fontId="77" fillId="15" borderId="103" xfId="29" applyNumberFormat="1" applyFont="1" applyBorder="1" applyAlignment="1" applyProtection="1">
      <alignment horizontal="center" vertical="center"/>
    </xf>
    <xf numFmtId="166" fontId="77" fillId="15" borderId="104" xfId="29" applyNumberFormat="1" applyFont="1" applyBorder="1" applyAlignment="1" applyProtection="1">
      <alignment horizontal="center" vertical="center"/>
    </xf>
    <xf numFmtId="166" fontId="77" fillId="15" borderId="105" xfId="29" applyNumberFormat="1" applyFont="1" applyBorder="1" applyAlignment="1" applyProtection="1">
      <alignment horizontal="center" vertical="center"/>
    </xf>
    <xf numFmtId="0" fontId="40" fillId="0" borderId="12" xfId="0" applyFont="1" applyBorder="1" applyAlignment="1">
      <alignment horizontal="left" vertical="center" wrapText="1"/>
    </xf>
    <xf numFmtId="166" fontId="77" fillId="15" borderId="44" xfId="29" applyNumberFormat="1" applyFont="1" applyBorder="1" applyAlignment="1" applyProtection="1">
      <alignment horizontal="right" vertical="center"/>
    </xf>
    <xf numFmtId="0" fontId="40" fillId="0" borderId="11" xfId="0" applyFont="1" applyBorder="1" applyAlignment="1">
      <alignment horizontal="left" vertical="center" wrapText="1"/>
    </xf>
    <xf numFmtId="166" fontId="30" fillId="20" borderId="90" xfId="29" applyNumberFormat="1" applyFill="1" applyBorder="1" applyAlignment="1" applyProtection="1">
      <alignment horizontal="right" vertical="center"/>
    </xf>
    <xf numFmtId="166" fontId="30" fillId="20" borderId="153" xfId="29" applyNumberFormat="1" applyFill="1" applyBorder="1" applyAlignment="1" applyProtection="1">
      <alignment horizontal="right" vertical="center"/>
    </xf>
    <xf numFmtId="166" fontId="30" fillId="20" borderId="154" xfId="29" applyNumberFormat="1" applyFill="1" applyBorder="1" applyAlignment="1" applyProtection="1">
      <alignment horizontal="right" vertical="center"/>
    </xf>
    <xf numFmtId="166" fontId="30" fillId="20" borderId="155" xfId="29" applyNumberFormat="1" applyFill="1" applyBorder="1" applyAlignment="1" applyProtection="1">
      <alignment horizontal="right" vertical="center"/>
    </xf>
    <xf numFmtId="0" fontId="67" fillId="0" borderId="0" xfId="0" applyFont="1" applyAlignment="1">
      <alignment horizontal="center"/>
    </xf>
    <xf numFmtId="0" fontId="54" fillId="0" borderId="0" xfId="0" applyFont="1" applyAlignment="1">
      <alignment horizontal="center"/>
    </xf>
    <xf numFmtId="0" fontId="80" fillId="0" borderId="0" xfId="0" applyFont="1" applyAlignment="1">
      <alignment horizontal="center"/>
    </xf>
    <xf numFmtId="0" fontId="40" fillId="0" borderId="2" xfId="0" applyFont="1" applyBorder="1" applyAlignment="1">
      <alignment horizontal="center" vertical="center"/>
    </xf>
    <xf numFmtId="0" fontId="40" fillId="0" borderId="16" xfId="0" applyFont="1" applyBorder="1" applyAlignment="1">
      <alignment horizontal="center" vertical="center"/>
    </xf>
    <xf numFmtId="0" fontId="40" fillId="0" borderId="11" xfId="0" applyFont="1" applyBorder="1" applyAlignment="1">
      <alignment horizontal="center" vertical="center"/>
    </xf>
    <xf numFmtId="0" fontId="40" fillId="0" borderId="109" xfId="0" applyFont="1" applyBorder="1" applyAlignment="1">
      <alignment horizontal="center" vertical="center"/>
    </xf>
    <xf numFmtId="0" fontId="40" fillId="0" borderId="19" xfId="0" applyFont="1" applyBorder="1" applyAlignment="1">
      <alignment horizontal="center" vertical="center"/>
    </xf>
    <xf numFmtId="0" fontId="40" fillId="0" borderId="7" xfId="0" applyFont="1" applyBorder="1" applyAlignment="1">
      <alignment horizontal="center" vertical="center"/>
    </xf>
    <xf numFmtId="0" fontId="40" fillId="0" borderId="20" xfId="0" applyFont="1" applyBorder="1" applyAlignment="1">
      <alignment horizontal="center" vertical="center"/>
    </xf>
    <xf numFmtId="0" fontId="76" fillId="0" borderId="102" xfId="0" applyFont="1" applyBorder="1" applyAlignment="1">
      <alignment horizontal="right" vertical="center" wrapText="1"/>
    </xf>
    <xf numFmtId="166" fontId="77" fillId="15" borderId="94" xfId="29" applyNumberFormat="1" applyFont="1" applyBorder="1" applyAlignment="1" applyProtection="1">
      <alignment horizontal="center" vertical="center"/>
    </xf>
    <xf numFmtId="166" fontId="77" fillId="15" borderId="14" xfId="29" applyNumberFormat="1" applyFont="1" applyBorder="1" applyAlignment="1" applyProtection="1">
      <alignment horizontal="center" vertical="center"/>
    </xf>
    <xf numFmtId="166" fontId="77" fillId="15" borderId="87" xfId="29" applyNumberFormat="1" applyFont="1" applyBorder="1" applyAlignment="1" applyProtection="1">
      <alignment horizontal="center" vertical="center"/>
    </xf>
    <xf numFmtId="166" fontId="77" fillId="15" borderId="17" xfId="29" applyNumberFormat="1" applyFont="1" applyBorder="1" applyAlignment="1" applyProtection="1">
      <alignment horizontal="center" vertical="center"/>
    </xf>
    <xf numFmtId="166" fontId="77" fillId="15" borderId="102" xfId="29" applyNumberFormat="1" applyFont="1" applyBorder="1" applyAlignment="1" applyProtection="1">
      <alignment horizontal="center" vertical="center"/>
    </xf>
    <xf numFmtId="166" fontId="77" fillId="15" borderId="96" xfId="29" applyNumberFormat="1" applyFont="1" applyBorder="1" applyAlignment="1" applyProtection="1">
      <alignment horizontal="right" vertical="center"/>
    </xf>
    <xf numFmtId="166" fontId="77" fillId="15" borderId="97" xfId="29" applyNumberFormat="1" applyFont="1" applyBorder="1" applyAlignment="1" applyProtection="1">
      <alignment horizontal="right" vertical="center"/>
    </xf>
    <xf numFmtId="0" fontId="76" fillId="0" borderId="12" xfId="0" applyFont="1" applyBorder="1" applyAlignment="1">
      <alignment horizontal="right" vertical="center" wrapText="1"/>
    </xf>
    <xf numFmtId="0" fontId="76" fillId="0" borderId="86" xfId="0" applyFont="1" applyBorder="1" applyAlignment="1">
      <alignment horizontal="right" vertical="center" wrapText="1"/>
    </xf>
    <xf numFmtId="166" fontId="77" fillId="15" borderId="91" xfId="29" applyNumberFormat="1" applyFont="1" applyBorder="1" applyAlignment="1" applyProtection="1">
      <alignment horizontal="center" vertical="center"/>
    </xf>
    <xf numFmtId="166" fontId="77" fillId="15" borderId="92" xfId="29" applyNumberFormat="1" applyFont="1" applyBorder="1" applyAlignment="1" applyProtection="1">
      <alignment horizontal="center" vertical="center"/>
    </xf>
    <xf numFmtId="166" fontId="77" fillId="15" borderId="45" xfId="29" applyNumberFormat="1" applyFont="1" applyBorder="1" applyAlignment="1" applyProtection="1">
      <alignment horizontal="center" vertical="center"/>
    </xf>
    <xf numFmtId="167" fontId="79" fillId="20" borderId="158" xfId="29" applyNumberFormat="1" applyFont="1" applyFill="1" applyBorder="1" applyAlignment="1" applyProtection="1">
      <alignment horizontal="center" vertical="center"/>
    </xf>
    <xf numFmtId="166" fontId="77" fillId="15" borderId="169" xfId="29" applyNumberFormat="1" applyFont="1" applyBorder="1" applyAlignment="1" applyProtection="1">
      <alignment horizontal="center" vertical="center"/>
    </xf>
    <xf numFmtId="0" fontId="84" fillId="24" borderId="0" xfId="0" applyFont="1" applyFill="1" applyAlignment="1">
      <alignment horizontal="center" vertical="top"/>
    </xf>
    <xf numFmtId="0" fontId="84" fillId="24" borderId="108" xfId="0" applyFont="1" applyFill="1" applyBorder="1" applyAlignment="1">
      <alignment horizontal="center" vertical="top"/>
    </xf>
    <xf numFmtId="0" fontId="84" fillId="22" borderId="0" xfId="0" applyFont="1" applyFill="1" applyAlignment="1">
      <alignment horizontal="center"/>
    </xf>
    <xf numFmtId="0" fontId="84" fillId="12" borderId="0" xfId="0" applyFont="1" applyFill="1" applyAlignment="1">
      <alignment horizontal="center"/>
    </xf>
    <xf numFmtId="0" fontId="102" fillId="0" borderId="0" xfId="39" applyFont="1" applyAlignment="1">
      <alignment horizontal="left"/>
    </xf>
    <xf numFmtId="0" fontId="102" fillId="9" borderId="0" xfId="39" applyFont="1" applyFill="1" applyAlignment="1">
      <alignment horizontal="left"/>
    </xf>
    <xf numFmtId="0" fontId="57" fillId="0" borderId="0" xfId="37" applyAlignment="1">
      <alignment horizontal="left"/>
    </xf>
    <xf numFmtId="0" fontId="84" fillId="23" borderId="0" xfId="0" applyFont="1" applyFill="1" applyAlignment="1">
      <alignment horizontal="center"/>
    </xf>
    <xf numFmtId="0" fontId="103" fillId="0" borderId="0" xfId="0" applyFont="1" applyAlignment="1">
      <alignment horizontal="center"/>
    </xf>
    <xf numFmtId="0" fontId="132" fillId="11" borderId="2" xfId="0" applyFont="1" applyFill="1" applyBorder="1" applyAlignment="1">
      <alignment horizontal="center"/>
    </xf>
    <xf numFmtId="0" fontId="132" fillId="33" borderId="11" xfId="0" applyFont="1" applyFill="1" applyBorder="1" applyAlignment="1">
      <alignment horizontal="center"/>
    </xf>
    <xf numFmtId="0" fontId="119" fillId="0" borderId="2" xfId="0" applyFont="1" applyBorder="1" applyAlignment="1">
      <alignment horizontal="left"/>
    </xf>
    <xf numFmtId="0" fontId="28" fillId="0" borderId="32" xfId="27" applyAlignment="1">
      <alignment horizontal="center"/>
    </xf>
    <xf numFmtId="0" fontId="14" fillId="0" borderId="6" xfId="25" applyAlignment="1">
      <alignment horizontal="center"/>
    </xf>
    <xf numFmtId="0" fontId="28" fillId="0" borderId="32" xfId="27" applyAlignment="1">
      <alignment horizontal="center" vertical="center"/>
    </xf>
    <xf numFmtId="0" fontId="132" fillId="33" borderId="2" xfId="0" applyFont="1" applyFill="1" applyBorder="1" applyAlignment="1">
      <alignment horizontal="center"/>
    </xf>
    <xf numFmtId="0" fontId="121" fillId="0" borderId="0" xfId="0" applyFont="1" applyAlignment="1">
      <alignment horizontal="center"/>
    </xf>
    <xf numFmtId="0" fontId="28" fillId="0" borderId="84" xfId="38" applyBorder="1" applyAlignment="1">
      <alignment horizontal="center" vertical="center"/>
    </xf>
    <xf numFmtId="0" fontId="28" fillId="0" borderId="0" xfId="38" applyBorder="1" applyAlignment="1">
      <alignment horizontal="center" vertical="center"/>
    </xf>
    <xf numFmtId="0" fontId="119" fillId="0" borderId="52" xfId="0" applyFont="1" applyBorder="1" applyAlignment="1">
      <alignment horizontal="left"/>
    </xf>
    <xf numFmtId="0" fontId="105" fillId="0" borderId="7" xfId="0" applyFont="1" applyBorder="1" applyAlignment="1">
      <alignment horizontal="center"/>
    </xf>
  </cellXfs>
  <cellStyles count="41">
    <cellStyle name="20% - Accent1" xfId="17" builtinId="30"/>
    <cellStyle name="20% - Accent2" xfId="35" builtinId="34"/>
    <cellStyle name="20% - Accent3" xfId="18" builtinId="38"/>
    <cellStyle name="20% - Accent4" xfId="19" builtinId="42"/>
    <cellStyle name="20% - Accent6" xfId="36" builtinId="50"/>
    <cellStyle name="40% - Accent1" xfId="20" builtinId="31"/>
    <cellStyle name="Accent1" xfId="34" builtinId="29"/>
    <cellStyle name="Calculation" xfId="30" builtinId="22"/>
    <cellStyle name="Comma 2" xfId="3" xr:uid="{00000000-0005-0000-0000-000004000000}"/>
    <cellStyle name="Comma 3" xfId="22" xr:uid="{00000000-0005-0000-0000-000005000000}"/>
    <cellStyle name="Currency" xfId="24" builtinId="4"/>
    <cellStyle name="Currency 2" xfId="4" xr:uid="{00000000-0005-0000-0000-000006000000}"/>
    <cellStyle name="Currency 3" xfId="21" xr:uid="{00000000-0005-0000-0000-000007000000}"/>
    <cellStyle name="Explanatory Text" xfId="33" builtinId="53"/>
    <cellStyle name="Followed Hyperlink" xfId="7" builtinId="9" hidden="1"/>
    <cellStyle name="Followed Hyperlink" xfId="13" builtinId="9" hidden="1"/>
    <cellStyle name="Followed Hyperlink" xfId="11" builtinId="9" hidden="1"/>
    <cellStyle name="Followed Hyperlink" xfId="9" builtinId="9" hidden="1"/>
    <cellStyle name="Followed Hyperlink" xfId="15" builtinId="9" hidden="1"/>
    <cellStyle name="Heading 1" xfId="26" builtinId="16"/>
    <cellStyle name="Heading 2" xfId="25" builtinId="17"/>
    <cellStyle name="Heading 3" xfId="27" builtinId="18"/>
    <cellStyle name="Heading 4" xfId="38" builtinId="19"/>
    <cellStyle name="Hyperlink" xfId="14" builtinId="8" hidden="1"/>
    <cellStyle name="Hyperlink" xfId="10" builtinId="8" hidden="1"/>
    <cellStyle name="Hyperlink" xfId="12" builtinId="8" hidden="1"/>
    <cellStyle name="Hyperlink" xfId="6" builtinId="8" hidden="1"/>
    <cellStyle name="Hyperlink" xfId="8" builtinId="8" hidden="1"/>
    <cellStyle name="Hyperlink" xfId="39" builtinId="8"/>
    <cellStyle name="Input" xfId="28" builtinId="20"/>
    <cellStyle name="Linked Cell" xfId="31" builtinId="24"/>
    <cellStyle name="Normal" xfId="0" builtinId="0"/>
    <cellStyle name="Normal 2" xfId="2" xr:uid="{00000000-0005-0000-0000-000015000000}"/>
    <cellStyle name="Normal 3" xfId="23" xr:uid="{00000000-0005-0000-0000-000016000000}"/>
    <cellStyle name="Note" xfId="16" builtinId="10"/>
    <cellStyle name="Output" xfId="29" builtinId="21"/>
    <cellStyle name="Percent" xfId="1" builtinId="5"/>
    <cellStyle name="Percent 2" xfId="5" xr:uid="{00000000-0005-0000-0000-000019000000}"/>
    <cellStyle name="Title" xfId="37" builtinId="15"/>
    <cellStyle name="Total" xfId="40" builtinId="25"/>
    <cellStyle name="Warning Text" xfId="32" builtinId="11"/>
  </cellStyles>
  <dxfs count="3">
    <dxf>
      <fill>
        <patternFill>
          <bgColor theme="5" tint="0.39994506668294322"/>
        </patternFill>
      </fill>
    </dxf>
    <dxf>
      <fill>
        <patternFill patternType="solid">
          <bgColor rgb="FFFF9797"/>
        </patternFill>
      </fill>
    </dxf>
    <dxf>
      <fill>
        <patternFill>
          <bgColor theme="5" tint="0.399945066682943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BCF53"/>
      <color rgb="FFFAC01A"/>
      <color rgb="FF0052BF"/>
      <color rgb="FFF6F600"/>
      <color rgb="FFF2F2F2"/>
      <color rgb="FFF3E479"/>
      <color rgb="FFE80404"/>
      <color rgb="FFE1DFE1"/>
      <color rgb="FFA8BFAE"/>
      <color rgb="FFE8E6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NAU Colors-2">
      <a:dk1>
        <a:srgbClr val="002454"/>
      </a:dk1>
      <a:lt1>
        <a:sysClr val="window" lastClr="FFFFFF"/>
      </a:lt1>
      <a:dk2>
        <a:srgbClr val="1F497D"/>
      </a:dk2>
      <a:lt2>
        <a:srgbClr val="A5A5A5"/>
      </a:lt2>
      <a:accent1>
        <a:srgbClr val="0066B2"/>
      </a:accent1>
      <a:accent2>
        <a:srgbClr val="CF4527"/>
      </a:accent2>
      <a:accent3>
        <a:srgbClr val="007A33"/>
      </a:accent3>
      <a:accent4>
        <a:srgbClr val="8064A2"/>
      </a:accent4>
      <a:accent5>
        <a:srgbClr val="00ADB5"/>
      </a:accent5>
      <a:accent6>
        <a:srgbClr val="F68300"/>
      </a:accent6>
      <a:hlink>
        <a:srgbClr val="FFFFFF"/>
      </a:hlink>
      <a:folHlink>
        <a:srgbClr val="FE19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gao.az.gov/state-arizona-accounting-manual-saam" TargetMode="External"/><Relationship Id="rId2" Type="http://schemas.openxmlformats.org/officeDocument/2006/relationships/hyperlink" Target="https://nau.edu/university-policy-library/travel-policies/" TargetMode="External"/><Relationship Id="rId1" Type="http://schemas.openxmlformats.org/officeDocument/2006/relationships/hyperlink" Target="https://www.gsa.gov/" TargetMode="External"/><Relationship Id="rId6" Type="http://schemas.openxmlformats.org/officeDocument/2006/relationships/printerSettings" Target="../printerSettings/printerSettings4.bin"/><Relationship Id="rId5" Type="http://schemas.openxmlformats.org/officeDocument/2006/relationships/hyperlink" Target="https://www.fedrooms.com/home.html" TargetMode="External"/><Relationship Id="rId4" Type="http://schemas.openxmlformats.org/officeDocument/2006/relationships/hyperlink" Target="https://gao.az.gov/state-arizona-accounting-manual-sa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02E4-0A2D-4ECC-8EB4-F99B2081786A}">
  <sheetPr>
    <tabColor theme="5" tint="0.39997558519241921"/>
  </sheetPr>
  <dimension ref="B1:V101"/>
  <sheetViews>
    <sheetView showGridLines="0" tabSelected="1" workbookViewId="0">
      <selection activeCell="B23" sqref="B23"/>
    </sheetView>
  </sheetViews>
  <sheetFormatPr defaultRowHeight="12.75" outlineLevelRow="1" x14ac:dyDescent="0.2"/>
  <cols>
    <col min="1" max="1" width="4" customWidth="1"/>
    <col min="2" max="2" width="22.7109375" style="9" customWidth="1"/>
    <col min="3" max="3" width="16.85546875" customWidth="1"/>
    <col min="4" max="4" width="18.85546875" customWidth="1"/>
    <col min="5" max="5" width="12.42578125" customWidth="1"/>
    <col min="6" max="6" width="14.28515625" customWidth="1"/>
    <col min="7" max="7" width="14.140625" customWidth="1"/>
    <col min="8" max="8" width="13.5703125" customWidth="1"/>
    <col min="9" max="9" width="5.28515625" customWidth="1"/>
    <col min="10" max="13" width="7.7109375" customWidth="1"/>
    <col min="15" max="15" width="7.7109375" customWidth="1"/>
    <col min="17" max="17" width="7.42578125" customWidth="1"/>
  </cols>
  <sheetData>
    <row r="1" spans="2:17" ht="23.25" customHeight="1" x14ac:dyDescent="0.2">
      <c r="B1" s="632" t="s">
        <v>0</v>
      </c>
      <c r="C1" s="632"/>
      <c r="D1" s="632"/>
      <c r="E1" s="632"/>
      <c r="F1" s="632"/>
      <c r="G1" s="632"/>
      <c r="H1" s="632"/>
      <c r="I1" s="632"/>
      <c r="J1" s="632"/>
      <c r="K1" s="632"/>
      <c r="L1" s="632"/>
      <c r="M1" s="632"/>
      <c r="N1" s="632"/>
      <c r="O1" s="632"/>
      <c r="P1" s="632"/>
    </row>
    <row r="2" spans="2:17" ht="28.5" customHeight="1" x14ac:dyDescent="0.2">
      <c r="B2" s="632"/>
      <c r="C2" s="632"/>
      <c r="D2" s="632"/>
      <c r="E2" s="632"/>
      <c r="F2" s="632"/>
      <c r="G2" s="632"/>
      <c r="H2" s="632"/>
      <c r="I2" s="632"/>
      <c r="J2" s="632"/>
      <c r="K2" s="632"/>
      <c r="L2" s="632"/>
      <c r="M2" s="632"/>
      <c r="N2" s="632"/>
      <c r="O2" s="632"/>
      <c r="P2" s="632"/>
    </row>
    <row r="3" spans="2:17" ht="16.5" customHeight="1" x14ac:dyDescent="0.2">
      <c r="B3" s="632"/>
      <c r="C3" s="632"/>
      <c r="D3" s="632"/>
      <c r="E3" s="632"/>
      <c r="F3" s="632"/>
      <c r="G3" s="632"/>
      <c r="H3" s="632"/>
      <c r="I3" s="632"/>
      <c r="J3" s="632"/>
      <c r="K3" s="632"/>
      <c r="L3" s="632"/>
      <c r="M3" s="632"/>
      <c r="N3" s="632"/>
      <c r="O3" s="632"/>
      <c r="P3" s="632"/>
    </row>
    <row r="4" spans="2:17" x14ac:dyDescent="0.2">
      <c r="C4" s="10"/>
    </row>
    <row r="5" spans="2:17" ht="23.25" customHeight="1" x14ac:dyDescent="0.25">
      <c r="B5" s="624" t="s">
        <v>1</v>
      </c>
      <c r="C5" s="624"/>
      <c r="D5" s="91" t="s">
        <v>2</v>
      </c>
      <c r="E5" s="91"/>
      <c r="F5" s="91"/>
      <c r="G5" s="91"/>
      <c r="H5" s="91"/>
      <c r="I5" s="91"/>
      <c r="J5" s="91"/>
      <c r="K5" s="91"/>
      <c r="L5" s="91"/>
      <c r="M5" s="91"/>
      <c r="N5" s="91"/>
      <c r="O5" s="91"/>
      <c r="P5" s="89"/>
      <c r="Q5" s="14"/>
    </row>
    <row r="6" spans="2:17" ht="15.75" x14ac:dyDescent="0.25">
      <c r="B6" s="86"/>
      <c r="D6" s="91" t="s">
        <v>3</v>
      </c>
      <c r="F6" s="91"/>
      <c r="G6" s="91"/>
      <c r="H6" s="91"/>
      <c r="I6" s="91"/>
      <c r="J6" s="91"/>
      <c r="K6" s="91"/>
      <c r="L6" s="91"/>
      <c r="M6" s="91"/>
      <c r="N6" s="91"/>
      <c r="O6" s="91"/>
      <c r="P6" s="89"/>
      <c r="Q6" s="14"/>
    </row>
    <row r="7" spans="2:17" ht="23.25" customHeight="1" x14ac:dyDescent="0.25">
      <c r="B7" s="625" t="s">
        <v>4</v>
      </c>
      <c r="C7" s="625"/>
      <c r="D7" s="91" t="s">
        <v>5</v>
      </c>
      <c r="E7" s="91"/>
      <c r="F7" s="91"/>
      <c r="G7" s="91"/>
      <c r="H7" s="91"/>
      <c r="I7" s="91"/>
      <c r="J7" s="91"/>
      <c r="K7" s="91"/>
      <c r="L7" s="91"/>
      <c r="M7" s="91"/>
      <c r="N7" s="91"/>
      <c r="O7" s="91"/>
      <c r="P7" s="89"/>
      <c r="Q7" s="14"/>
    </row>
    <row r="8" spans="2:17" ht="15.75" x14ac:dyDescent="0.25">
      <c r="B8" s="86"/>
      <c r="D8" s="91" t="s">
        <v>6</v>
      </c>
      <c r="F8" s="91"/>
      <c r="G8" s="91"/>
      <c r="H8" s="91"/>
      <c r="I8" s="91"/>
      <c r="J8" s="91"/>
      <c r="K8" s="91"/>
      <c r="L8" s="91"/>
      <c r="M8" s="91"/>
      <c r="N8" s="91"/>
      <c r="O8" s="91"/>
      <c r="P8" s="89"/>
      <c r="Q8" s="14"/>
    </row>
    <row r="9" spans="2:17" ht="15.75" x14ac:dyDescent="0.25">
      <c r="B9" s="86"/>
      <c r="D9" s="91" t="s">
        <v>7</v>
      </c>
      <c r="F9" s="91"/>
      <c r="G9" s="91"/>
      <c r="H9" s="91"/>
      <c r="I9" s="91"/>
      <c r="J9" s="91"/>
      <c r="K9" s="91"/>
      <c r="L9" s="91"/>
      <c r="M9" s="91"/>
      <c r="N9" s="91"/>
      <c r="O9" s="91"/>
      <c r="P9" s="89"/>
      <c r="Q9" s="14"/>
    </row>
    <row r="10" spans="2:17" ht="15" customHeight="1" x14ac:dyDescent="0.25">
      <c r="D10" s="91" t="s">
        <v>8</v>
      </c>
      <c r="F10" s="91"/>
      <c r="G10" s="91"/>
      <c r="H10" s="91"/>
      <c r="I10" s="91"/>
      <c r="J10" s="91"/>
      <c r="K10" s="91"/>
      <c r="L10" s="91"/>
      <c r="M10" s="91"/>
      <c r="N10" s="91"/>
      <c r="O10" s="91"/>
      <c r="P10" s="89"/>
    </row>
    <row r="11" spans="2:17" ht="23.25" customHeight="1" x14ac:dyDescent="0.25">
      <c r="B11" s="626" t="s">
        <v>9</v>
      </c>
      <c r="C11" s="626"/>
      <c r="D11" s="91" t="s">
        <v>10</v>
      </c>
      <c r="E11" s="91"/>
      <c r="F11" s="91"/>
      <c r="G11" s="91"/>
      <c r="H11" s="91"/>
      <c r="I11" s="91"/>
      <c r="J11" s="91"/>
      <c r="K11" s="91"/>
      <c r="L11" s="91"/>
      <c r="M11" s="91"/>
      <c r="N11" s="91"/>
      <c r="O11" s="91"/>
      <c r="P11" s="89"/>
      <c r="Q11" s="14"/>
    </row>
    <row r="12" spans="2:17" ht="15.75" x14ac:dyDescent="0.25">
      <c r="B12" s="111"/>
      <c r="C12" s="111"/>
      <c r="D12" s="91" t="s">
        <v>11</v>
      </c>
      <c r="F12" s="91"/>
      <c r="G12" s="91"/>
      <c r="H12" s="91"/>
      <c r="I12" s="91"/>
      <c r="J12" s="91"/>
      <c r="K12" s="91"/>
      <c r="L12" s="91"/>
      <c r="M12" s="91"/>
      <c r="N12" s="91"/>
      <c r="O12" s="91"/>
      <c r="P12" s="89"/>
      <c r="Q12" s="14"/>
    </row>
    <row r="13" spans="2:17" ht="23.25" customHeight="1" x14ac:dyDescent="0.25">
      <c r="B13" s="628" t="s">
        <v>12</v>
      </c>
      <c r="C13" s="628"/>
      <c r="D13" s="91" t="s">
        <v>13</v>
      </c>
      <c r="E13" s="91"/>
      <c r="F13" s="91"/>
      <c r="G13" s="91"/>
      <c r="H13" s="91"/>
      <c r="I13" s="91"/>
      <c r="J13" s="91"/>
      <c r="K13" s="91"/>
      <c r="L13" s="91"/>
      <c r="M13" s="91"/>
      <c r="N13" s="91"/>
      <c r="O13" s="91"/>
      <c r="P13" s="89"/>
      <c r="Q13" s="14"/>
    </row>
    <row r="14" spans="2:17" ht="13.5" customHeight="1" x14ac:dyDescent="0.25">
      <c r="B14" s="111"/>
      <c r="C14" s="111"/>
      <c r="D14" s="91" t="s">
        <v>14</v>
      </c>
      <c r="F14" s="91"/>
      <c r="G14" s="91"/>
      <c r="H14" s="91"/>
      <c r="I14" s="91"/>
      <c r="J14" s="91"/>
      <c r="K14" s="91"/>
      <c r="L14" s="91"/>
      <c r="M14" s="91"/>
      <c r="N14" s="91"/>
      <c r="O14" s="91"/>
      <c r="P14" s="89"/>
      <c r="Q14" s="14"/>
    </row>
    <row r="15" spans="2:17" ht="23.25" customHeight="1" x14ac:dyDescent="0.25">
      <c r="B15" s="627" t="s">
        <v>15</v>
      </c>
      <c r="C15" s="627"/>
      <c r="D15" s="91" t="s">
        <v>16</v>
      </c>
      <c r="E15" s="91"/>
      <c r="F15" s="91"/>
      <c r="G15" s="91"/>
      <c r="H15" s="91"/>
      <c r="I15" s="91"/>
      <c r="J15" s="91"/>
      <c r="K15" s="91"/>
      <c r="L15" s="91"/>
      <c r="M15" s="91"/>
      <c r="N15" s="91"/>
      <c r="O15" s="91"/>
      <c r="P15" s="89"/>
      <c r="Q15" s="14"/>
    </row>
    <row r="16" spans="2:17" ht="13.5" customHeight="1" x14ac:dyDescent="0.25">
      <c r="B16" s="111"/>
      <c r="C16" s="111"/>
      <c r="D16" s="508" t="s">
        <v>17</v>
      </c>
      <c r="F16" s="91"/>
      <c r="G16" s="91"/>
      <c r="H16" s="91"/>
      <c r="I16" s="91"/>
      <c r="J16" s="91"/>
      <c r="K16" s="91"/>
      <c r="L16" s="91"/>
      <c r="M16" s="91"/>
      <c r="N16" s="91"/>
      <c r="O16" s="91"/>
      <c r="P16" s="89"/>
      <c r="Q16" s="14"/>
    </row>
    <row r="17" spans="2:17" ht="23.25" customHeight="1" x14ac:dyDescent="0.25">
      <c r="B17" s="631" t="s">
        <v>18</v>
      </c>
      <c r="C17" s="631"/>
      <c r="D17" s="91" t="s">
        <v>19</v>
      </c>
      <c r="E17" s="91"/>
      <c r="F17" s="91"/>
      <c r="G17" s="91"/>
      <c r="H17" s="91"/>
      <c r="I17" s="91"/>
      <c r="J17" s="91"/>
      <c r="K17" s="91"/>
      <c r="L17" s="91"/>
      <c r="M17" s="91"/>
      <c r="N17" s="91"/>
      <c r="O17" s="91"/>
      <c r="P17" s="89"/>
      <c r="Q17" s="14"/>
    </row>
    <row r="18" spans="2:17" ht="13.5" customHeight="1" x14ac:dyDescent="0.25">
      <c r="B18" s="111"/>
      <c r="C18" s="111"/>
      <c r="D18" s="91" t="s">
        <v>20</v>
      </c>
      <c r="E18" s="91"/>
      <c r="F18" s="91"/>
      <c r="G18" s="91"/>
      <c r="H18" s="91"/>
      <c r="I18" s="91"/>
      <c r="J18" s="91"/>
      <c r="K18" s="91"/>
      <c r="L18" s="91"/>
      <c r="M18" s="91"/>
      <c r="N18" s="91"/>
      <c r="O18" s="91"/>
      <c r="P18" s="89"/>
      <c r="Q18" s="14"/>
    </row>
    <row r="19" spans="2:17" ht="12.75" customHeight="1" x14ac:dyDescent="0.25">
      <c r="B19" s="111"/>
      <c r="C19" s="111"/>
      <c r="D19" s="91"/>
      <c r="E19" s="91"/>
      <c r="F19" s="91"/>
      <c r="G19" s="91"/>
      <c r="H19" s="91"/>
      <c r="I19" s="91"/>
      <c r="J19" s="91"/>
      <c r="K19" s="91"/>
      <c r="L19" s="91"/>
      <c r="M19" s="91"/>
      <c r="N19" s="91"/>
      <c r="O19" s="91"/>
      <c r="P19" s="89"/>
      <c r="Q19" s="14"/>
    </row>
    <row r="20" spans="2:17" ht="9.75" customHeight="1" x14ac:dyDescent="0.3">
      <c r="B20" s="87"/>
      <c r="C20" s="13"/>
      <c r="D20" s="13"/>
      <c r="E20" s="13"/>
      <c r="F20" s="13"/>
      <c r="G20" s="13"/>
      <c r="H20" s="13"/>
      <c r="I20" s="13"/>
      <c r="J20" s="13"/>
      <c r="K20" s="13"/>
      <c r="L20" s="13"/>
      <c r="M20" s="13"/>
      <c r="N20" s="11"/>
    </row>
    <row r="21" spans="2:17" ht="33" customHeight="1" thickBot="1" x14ac:dyDescent="0.35">
      <c r="B21" s="633" t="s">
        <v>21</v>
      </c>
      <c r="C21" s="633"/>
      <c r="D21" s="633"/>
      <c r="E21" s="633"/>
      <c r="F21" s="633"/>
      <c r="G21" s="633"/>
      <c r="H21" s="633"/>
      <c r="I21" s="633"/>
      <c r="J21" s="633"/>
      <c r="K21" s="633"/>
      <c r="L21" s="633"/>
      <c r="M21" s="633"/>
      <c r="N21" s="633"/>
      <c r="O21" s="633"/>
      <c r="P21" s="633"/>
    </row>
    <row r="22" spans="2:17" ht="13.5" thickTop="1" x14ac:dyDescent="0.2"/>
    <row r="23" spans="2:17" ht="15.75" x14ac:dyDescent="0.25">
      <c r="B23" s="97" t="s">
        <v>22</v>
      </c>
      <c r="C23" s="285" t="s">
        <v>23</v>
      </c>
      <c r="D23" s="100" t="s">
        <v>24</v>
      </c>
      <c r="E23" s="100"/>
      <c r="F23" s="100"/>
      <c r="G23" s="12"/>
      <c r="H23" s="12"/>
      <c r="I23" s="12"/>
    </row>
    <row r="24" spans="2:17" ht="6" customHeight="1" x14ac:dyDescent="0.25">
      <c r="B24" s="97"/>
      <c r="C24" s="88"/>
      <c r="D24" s="100"/>
      <c r="E24" s="100"/>
      <c r="F24" s="100"/>
      <c r="G24" s="11"/>
      <c r="H24" s="11"/>
      <c r="I24" s="11"/>
    </row>
    <row r="25" spans="2:17" ht="33" customHeight="1" x14ac:dyDescent="0.25">
      <c r="B25" s="97" t="s">
        <v>25</v>
      </c>
      <c r="C25" s="98" t="s">
        <v>26</v>
      </c>
      <c r="D25" s="100" t="s">
        <v>27</v>
      </c>
      <c r="E25" s="100"/>
      <c r="F25" s="100"/>
      <c r="G25" s="12"/>
      <c r="H25" s="12"/>
      <c r="I25" s="12"/>
    </row>
    <row r="26" spans="2:17" ht="10.5" customHeight="1" x14ac:dyDescent="0.25">
      <c r="B26" s="97"/>
      <c r="C26" s="88"/>
      <c r="D26" s="100"/>
      <c r="E26" s="100"/>
      <c r="F26" s="100"/>
      <c r="G26" s="11"/>
      <c r="H26" s="11"/>
      <c r="I26" s="11"/>
    </row>
    <row r="27" spans="2:17" ht="15.75" x14ac:dyDescent="0.25">
      <c r="B27" s="97" t="s">
        <v>28</v>
      </c>
      <c r="C27" s="85" t="s">
        <v>29</v>
      </c>
      <c r="D27" s="100" t="s">
        <v>30</v>
      </c>
      <c r="E27" s="100"/>
      <c r="F27" s="100"/>
      <c r="G27" s="12"/>
      <c r="H27" s="12"/>
      <c r="I27" s="12"/>
    </row>
    <row r="28" spans="2:17" ht="30.75" customHeight="1" thickBot="1" x14ac:dyDescent="0.3">
      <c r="B28" s="97" t="s">
        <v>31</v>
      </c>
      <c r="C28" s="99" t="s">
        <v>32</v>
      </c>
      <c r="D28" s="100" t="s">
        <v>33</v>
      </c>
      <c r="E28" s="100"/>
      <c r="F28" s="100"/>
      <c r="G28" s="12"/>
      <c r="H28" s="12"/>
      <c r="I28" s="12"/>
    </row>
    <row r="29" spans="2:17" ht="9.75" customHeight="1" thickTop="1" x14ac:dyDescent="0.25">
      <c r="B29" s="97"/>
      <c r="C29" s="86"/>
      <c r="D29" s="100"/>
      <c r="E29" s="100"/>
      <c r="F29" s="100"/>
      <c r="G29" s="11"/>
      <c r="H29" s="11"/>
      <c r="I29" s="11"/>
    </row>
    <row r="30" spans="2:17" ht="15.75" x14ac:dyDescent="0.25">
      <c r="B30" s="97" t="s">
        <v>34</v>
      </c>
      <c r="C30" s="428" t="s">
        <v>23</v>
      </c>
      <c r="D30" s="100" t="s">
        <v>35</v>
      </c>
      <c r="E30" s="100"/>
      <c r="F30" s="100"/>
      <c r="G30" s="11"/>
      <c r="H30" s="11"/>
      <c r="I30" s="11"/>
    </row>
    <row r="31" spans="2:17" ht="15.75" x14ac:dyDescent="0.25">
      <c r="B31" s="97"/>
      <c r="C31" s="430"/>
      <c r="D31" s="100"/>
      <c r="E31" s="100"/>
      <c r="F31" s="100"/>
      <c r="G31" s="11"/>
      <c r="H31" s="11"/>
      <c r="I31" s="11"/>
    </row>
    <row r="32" spans="2:17" ht="30" x14ac:dyDescent="0.25">
      <c r="B32" s="97" t="s">
        <v>36</v>
      </c>
      <c r="C32" s="548" t="s">
        <v>37</v>
      </c>
      <c r="D32" s="100" t="s">
        <v>38</v>
      </c>
      <c r="E32" s="100"/>
      <c r="F32" s="100"/>
      <c r="G32" s="11"/>
      <c r="H32" s="11"/>
      <c r="I32" s="11"/>
    </row>
    <row r="33" spans="2:17" ht="15.75" x14ac:dyDescent="0.25">
      <c r="B33" s="97"/>
      <c r="C33" s="430"/>
      <c r="D33" s="100"/>
      <c r="E33" s="100"/>
      <c r="F33" s="100"/>
      <c r="G33" s="11"/>
      <c r="H33" s="11"/>
      <c r="I33" s="11"/>
    </row>
    <row r="34" spans="2:17" ht="15" x14ac:dyDescent="0.25">
      <c r="B34" s="431" t="s">
        <v>39</v>
      </c>
      <c r="C34" s="432" t="s">
        <v>40</v>
      </c>
      <c r="D34" s="432"/>
      <c r="E34" s="432"/>
      <c r="F34" s="433"/>
      <c r="G34" s="434"/>
      <c r="H34" s="434"/>
      <c r="I34" s="434"/>
      <c r="J34" s="434"/>
      <c r="K34" s="434"/>
      <c r="L34" s="435"/>
    </row>
    <row r="35" spans="2:17" ht="15" x14ac:dyDescent="0.25">
      <c r="B35" s="97"/>
      <c r="C35" s="432" t="s">
        <v>41</v>
      </c>
      <c r="D35" s="432"/>
      <c r="E35" s="432"/>
      <c r="F35" s="433"/>
      <c r="G35" s="434"/>
      <c r="H35" s="434"/>
      <c r="I35" s="434"/>
      <c r="J35" s="434"/>
      <c r="K35" s="434"/>
      <c r="L35" s="435"/>
    </row>
    <row r="36" spans="2:17" ht="15" x14ac:dyDescent="0.25">
      <c r="B36" s="429"/>
      <c r="C36" s="436" t="s">
        <v>42</v>
      </c>
      <c r="D36" s="436"/>
      <c r="E36" s="436"/>
      <c r="F36" s="433"/>
      <c r="G36" s="434"/>
      <c r="H36" s="434"/>
      <c r="I36" s="434"/>
      <c r="J36" s="434"/>
      <c r="K36" s="434"/>
      <c r="L36" s="435"/>
    </row>
    <row r="37" spans="2:17" ht="29.25" customHeight="1" thickBot="1" x14ac:dyDescent="0.35">
      <c r="B37" s="633" t="s">
        <v>43</v>
      </c>
      <c r="C37" s="633"/>
      <c r="D37" s="633"/>
      <c r="E37" s="633"/>
      <c r="F37" s="633"/>
      <c r="G37" s="633"/>
      <c r="H37" s="633"/>
      <c r="I37" s="633"/>
      <c r="J37" s="633"/>
      <c r="K37" s="633"/>
      <c r="L37" s="633"/>
      <c r="M37" s="633"/>
      <c r="N37" s="633"/>
      <c r="O37" s="633"/>
      <c r="P37" s="633"/>
    </row>
    <row r="38" spans="2:17" ht="33" customHeight="1" thickTop="1" x14ac:dyDescent="0.25">
      <c r="B38" s="92" t="s">
        <v>44</v>
      </c>
      <c r="C38" s="94" t="s">
        <v>45</v>
      </c>
      <c r="D38" s="94"/>
      <c r="E38" s="94"/>
      <c r="F38" s="94"/>
      <c r="G38" s="94"/>
      <c r="H38" s="94"/>
      <c r="I38" s="94"/>
      <c r="J38" s="94"/>
      <c r="K38" s="94"/>
      <c r="L38" s="94"/>
      <c r="M38" s="94"/>
      <c r="N38" s="94"/>
      <c r="O38" s="11"/>
      <c r="P38" s="11"/>
      <c r="Q38" s="11"/>
    </row>
    <row r="39" spans="2:17" ht="15" x14ac:dyDescent="0.25">
      <c r="B39" s="92"/>
      <c r="C39" s="94" t="s">
        <v>46</v>
      </c>
      <c r="D39" s="94"/>
      <c r="E39" s="94"/>
      <c r="F39" s="94"/>
      <c r="G39" s="94"/>
      <c r="H39" s="94"/>
      <c r="I39" s="94"/>
      <c r="J39" s="94"/>
      <c r="K39" s="94"/>
      <c r="L39" s="94"/>
      <c r="M39" s="94"/>
      <c r="N39" s="94"/>
      <c r="O39" s="11"/>
      <c r="P39" s="11"/>
      <c r="Q39" s="11"/>
    </row>
    <row r="40" spans="2:17" ht="15" x14ac:dyDescent="0.25">
      <c r="B40" s="92"/>
      <c r="C40" s="94" t="s">
        <v>47</v>
      </c>
      <c r="D40" s="94"/>
      <c r="E40" s="94"/>
      <c r="F40" s="94"/>
      <c r="G40" s="94"/>
      <c r="H40" s="94"/>
      <c r="I40" s="94"/>
      <c r="J40" s="94"/>
      <c r="K40" s="94"/>
      <c r="L40" s="94"/>
      <c r="M40" s="94"/>
      <c r="N40" s="94"/>
      <c r="O40" s="11"/>
      <c r="P40" s="11"/>
      <c r="Q40" s="11"/>
    </row>
    <row r="41" spans="2:17" ht="15" x14ac:dyDescent="0.25">
      <c r="B41" s="92"/>
      <c r="C41" s="94" t="s">
        <v>48</v>
      </c>
      <c r="D41" s="94"/>
      <c r="E41" s="94"/>
      <c r="F41" s="94"/>
      <c r="G41" s="94"/>
      <c r="H41" s="94"/>
      <c r="I41" s="94"/>
      <c r="J41" s="94"/>
      <c r="K41" s="94"/>
      <c r="L41" s="94"/>
      <c r="M41" s="94"/>
      <c r="N41" s="94"/>
      <c r="O41" s="11"/>
      <c r="P41" s="11"/>
      <c r="Q41" s="11"/>
    </row>
    <row r="42" spans="2:17" ht="5.25" customHeight="1" x14ac:dyDescent="0.25">
      <c r="B42" s="92"/>
      <c r="C42" s="94"/>
      <c r="D42" s="94"/>
      <c r="E42" s="94"/>
      <c r="F42" s="94"/>
      <c r="G42" s="94"/>
      <c r="H42" s="94"/>
      <c r="I42" s="94"/>
      <c r="J42" s="94"/>
      <c r="K42" s="94"/>
      <c r="L42" s="94"/>
      <c r="M42" s="94"/>
      <c r="N42" s="94"/>
      <c r="O42" s="11"/>
      <c r="P42" s="11"/>
      <c r="Q42" s="11"/>
    </row>
    <row r="43" spans="2:17" ht="30" x14ac:dyDescent="0.25">
      <c r="B43" s="92" t="s">
        <v>49</v>
      </c>
      <c r="C43" s="95" t="s">
        <v>50</v>
      </c>
      <c r="D43" s="95"/>
      <c r="E43" s="95"/>
      <c r="F43" s="94"/>
      <c r="G43" s="94"/>
      <c r="H43" s="94"/>
      <c r="I43" s="94"/>
      <c r="J43" s="94"/>
      <c r="K43" s="94"/>
      <c r="L43" s="94"/>
      <c r="M43" s="94"/>
      <c r="N43" s="94"/>
      <c r="O43" s="11"/>
      <c r="P43" s="11"/>
      <c r="Q43" s="11"/>
    </row>
    <row r="44" spans="2:17" ht="15" x14ac:dyDescent="0.25">
      <c r="B44" s="90"/>
      <c r="C44" s="94" t="s">
        <v>51</v>
      </c>
      <c r="D44" s="94" t="s">
        <v>52</v>
      </c>
      <c r="E44" s="94"/>
      <c r="F44" s="94"/>
      <c r="G44" s="94"/>
      <c r="H44" s="94"/>
      <c r="I44" s="94"/>
      <c r="J44" s="94"/>
      <c r="K44" s="94"/>
      <c r="L44" s="94"/>
      <c r="M44" s="94"/>
      <c r="N44" s="94"/>
      <c r="O44" s="11"/>
      <c r="P44" s="11"/>
      <c r="Q44" s="11"/>
    </row>
    <row r="45" spans="2:17" ht="15" x14ac:dyDescent="0.25">
      <c r="B45" s="90"/>
      <c r="C45" s="94"/>
      <c r="D45" s="94" t="s">
        <v>53</v>
      </c>
      <c r="E45" s="94"/>
      <c r="F45" s="94"/>
      <c r="G45" s="94"/>
      <c r="H45" s="94"/>
      <c r="I45" s="94"/>
      <c r="J45" s="94"/>
      <c r="K45" s="94"/>
      <c r="L45" s="94"/>
      <c r="M45" s="94"/>
      <c r="N45" s="94"/>
      <c r="O45" s="11"/>
      <c r="P45" s="11"/>
      <c r="Q45" s="11"/>
    </row>
    <row r="46" spans="2:17" ht="15" x14ac:dyDescent="0.25">
      <c r="B46" s="90"/>
      <c r="C46" s="94"/>
      <c r="D46" s="94" t="s">
        <v>54</v>
      </c>
      <c r="E46" s="94"/>
      <c r="F46" s="94"/>
      <c r="G46" s="94"/>
      <c r="H46" s="94"/>
      <c r="I46" s="94"/>
      <c r="J46" s="94"/>
      <c r="K46" s="94"/>
      <c r="L46" s="94"/>
      <c r="M46" s="94"/>
      <c r="N46" s="94"/>
      <c r="O46" s="11"/>
      <c r="P46" s="11"/>
      <c r="Q46" s="11"/>
    </row>
    <row r="47" spans="2:17" ht="8.25" customHeight="1" x14ac:dyDescent="0.25">
      <c r="B47" s="90"/>
      <c r="C47" s="94"/>
      <c r="D47" s="94"/>
      <c r="E47" s="94"/>
      <c r="F47" s="94"/>
      <c r="G47" s="94"/>
      <c r="H47" s="94"/>
      <c r="I47" s="94"/>
      <c r="J47" s="94"/>
      <c r="K47" s="94"/>
      <c r="L47" s="94"/>
      <c r="M47" s="94"/>
      <c r="N47" s="94"/>
      <c r="O47" s="11"/>
      <c r="P47" s="11"/>
      <c r="Q47" s="11"/>
    </row>
    <row r="48" spans="2:17" ht="15" x14ac:dyDescent="0.25">
      <c r="B48" s="90"/>
      <c r="C48" s="94" t="s">
        <v>55</v>
      </c>
      <c r="D48" s="94" t="s">
        <v>56</v>
      </c>
      <c r="E48" s="94"/>
      <c r="F48" s="94"/>
      <c r="G48" s="94"/>
      <c r="H48" s="94"/>
      <c r="I48" s="94"/>
      <c r="J48" s="94"/>
      <c r="K48" s="94"/>
      <c r="L48" s="94"/>
      <c r="M48" s="94"/>
      <c r="N48" s="94"/>
      <c r="O48" s="11"/>
      <c r="P48" s="11"/>
      <c r="Q48" s="11"/>
    </row>
    <row r="49" spans="2:22" ht="15" x14ac:dyDescent="0.25">
      <c r="B49" s="90"/>
      <c r="C49" s="94"/>
      <c r="D49" s="94" t="s">
        <v>57</v>
      </c>
      <c r="E49" s="94"/>
      <c r="F49" s="94"/>
      <c r="G49" s="94"/>
      <c r="H49" s="94"/>
      <c r="I49" s="94"/>
      <c r="J49" s="94"/>
      <c r="K49" s="94"/>
      <c r="L49" s="94"/>
      <c r="M49" s="94"/>
      <c r="N49" s="94"/>
      <c r="O49" s="11"/>
      <c r="P49" s="11"/>
      <c r="Q49" s="11"/>
    </row>
    <row r="50" spans="2:22" ht="3.75" customHeight="1" x14ac:dyDescent="0.25">
      <c r="B50" s="90"/>
      <c r="C50" s="94"/>
      <c r="D50" s="94"/>
      <c r="E50" s="94"/>
      <c r="F50" s="94"/>
      <c r="G50" s="94"/>
      <c r="H50" s="94"/>
      <c r="I50" s="94"/>
      <c r="J50" s="94"/>
      <c r="K50" s="94"/>
      <c r="L50" s="94"/>
      <c r="M50" s="94"/>
      <c r="N50" s="94"/>
      <c r="O50" s="11"/>
      <c r="P50" s="11"/>
      <c r="Q50" s="11"/>
    </row>
    <row r="51" spans="2:22" ht="15" x14ac:dyDescent="0.25">
      <c r="B51" s="90"/>
      <c r="C51" s="96" t="s">
        <v>58</v>
      </c>
      <c r="D51" s="94" t="s">
        <v>59</v>
      </c>
      <c r="E51" s="94"/>
      <c r="F51" s="94"/>
      <c r="G51" s="94"/>
      <c r="H51" s="94"/>
      <c r="I51" s="94"/>
      <c r="J51" s="94"/>
      <c r="K51" s="94"/>
      <c r="L51" s="94"/>
      <c r="M51" s="94"/>
      <c r="N51" s="94"/>
      <c r="O51" s="11"/>
      <c r="P51" s="11"/>
      <c r="Q51" s="11"/>
    </row>
    <row r="52" spans="2:22" ht="15" x14ac:dyDescent="0.25">
      <c r="B52" s="90"/>
      <c r="C52" s="94"/>
      <c r="D52" s="94" t="s">
        <v>60</v>
      </c>
      <c r="E52" s="94"/>
      <c r="F52" s="94"/>
      <c r="G52" s="94"/>
      <c r="H52" s="94"/>
      <c r="I52" s="94"/>
      <c r="J52" s="94"/>
      <c r="K52" s="94"/>
      <c r="L52" s="94"/>
      <c r="M52" s="94"/>
      <c r="N52" s="94"/>
      <c r="O52" s="11"/>
      <c r="P52" s="11"/>
      <c r="Q52" s="11"/>
    </row>
    <row r="53" spans="2:22" ht="15" x14ac:dyDescent="0.25">
      <c r="B53" s="90"/>
      <c r="C53" s="94"/>
      <c r="D53" s="94" t="s">
        <v>61</v>
      </c>
      <c r="E53" s="94"/>
      <c r="F53" s="94"/>
      <c r="G53" s="94"/>
      <c r="H53" s="94"/>
      <c r="I53" s="94"/>
      <c r="J53" s="94"/>
      <c r="K53" s="94"/>
      <c r="L53" s="94"/>
      <c r="M53" s="94"/>
      <c r="N53" s="94"/>
      <c r="O53" s="11"/>
      <c r="P53" s="11"/>
      <c r="Q53" s="11"/>
    </row>
    <row r="54" spans="2:22" ht="15" x14ac:dyDescent="0.25">
      <c r="B54" s="92" t="s">
        <v>39</v>
      </c>
      <c r="C54" s="89" t="s">
        <v>62</v>
      </c>
      <c r="D54" s="89"/>
      <c r="E54" s="89"/>
      <c r="F54" s="89"/>
      <c r="G54" s="89"/>
      <c r="H54" s="89"/>
      <c r="I54" s="89"/>
      <c r="J54" s="89"/>
      <c r="K54" s="89"/>
      <c r="L54" s="89"/>
      <c r="M54" s="89"/>
      <c r="N54" s="89"/>
      <c r="O54" s="89"/>
      <c r="P54" s="89"/>
      <c r="Q54" s="89"/>
      <c r="R54" s="89"/>
      <c r="S54" s="89"/>
      <c r="T54" s="89"/>
      <c r="U54" s="89"/>
      <c r="V54" s="89"/>
    </row>
    <row r="55" spans="2:22" ht="15" x14ac:dyDescent="0.25">
      <c r="B55" s="92"/>
      <c r="D55" s="132" t="s">
        <v>63</v>
      </c>
      <c r="E55" s="132"/>
      <c r="F55" s="132"/>
      <c r="G55" s="132"/>
      <c r="H55" s="132"/>
      <c r="I55" s="132"/>
      <c r="J55" s="132"/>
      <c r="K55" s="132"/>
      <c r="L55" s="132"/>
      <c r="M55" s="132"/>
      <c r="N55" s="89"/>
      <c r="O55" s="89"/>
      <c r="P55" s="89"/>
      <c r="Q55" s="89"/>
      <c r="R55" s="89"/>
      <c r="S55" s="89"/>
      <c r="T55" s="89"/>
      <c r="U55" s="89"/>
      <c r="V55" s="89"/>
    </row>
    <row r="56" spans="2:22" ht="15" x14ac:dyDescent="0.25">
      <c r="D56" s="89" t="s">
        <v>42</v>
      </c>
      <c r="E56" s="89"/>
      <c r="F56" s="89"/>
      <c r="G56" s="89"/>
      <c r="H56" s="89"/>
      <c r="I56" s="89"/>
      <c r="J56" s="89"/>
      <c r="K56" s="89"/>
      <c r="L56" s="89"/>
      <c r="M56" s="89"/>
      <c r="N56" s="89"/>
      <c r="O56" s="89"/>
      <c r="P56" s="89"/>
      <c r="Q56" s="89"/>
      <c r="R56" s="89"/>
      <c r="S56" s="89"/>
      <c r="T56" s="89"/>
      <c r="U56" s="89"/>
      <c r="V56" s="89"/>
    </row>
    <row r="57" spans="2:22" ht="15" x14ac:dyDescent="0.25">
      <c r="C57" s="89"/>
      <c r="D57" s="89"/>
      <c r="E57" s="89"/>
      <c r="F57" s="89"/>
      <c r="G57" s="89"/>
      <c r="H57" s="89"/>
      <c r="I57" s="89"/>
      <c r="J57" s="89"/>
      <c r="K57" s="89"/>
      <c r="L57" s="89"/>
      <c r="M57" s="89"/>
      <c r="N57" s="89"/>
      <c r="O57" s="89"/>
      <c r="P57" s="89"/>
      <c r="Q57" s="89"/>
      <c r="R57" s="89"/>
      <c r="S57" s="89"/>
      <c r="T57" s="89"/>
      <c r="U57" s="89"/>
      <c r="V57" s="89"/>
    </row>
    <row r="58" spans="2:22" ht="31.5" customHeight="1" thickBot="1" x14ac:dyDescent="0.35">
      <c r="B58" s="633" t="s">
        <v>64</v>
      </c>
      <c r="C58" s="633"/>
      <c r="D58" s="633"/>
      <c r="E58" s="633"/>
      <c r="F58" s="633"/>
      <c r="G58" s="633"/>
      <c r="H58" s="633"/>
      <c r="I58" s="633"/>
      <c r="J58" s="633"/>
      <c r="K58" s="633"/>
      <c r="L58" s="633"/>
      <c r="M58" s="633"/>
      <c r="N58" s="633"/>
      <c r="O58" s="633"/>
      <c r="P58" s="633"/>
    </row>
    <row r="59" spans="2:22" ht="35.25" customHeight="1" thickTop="1" x14ac:dyDescent="0.25">
      <c r="B59" s="93" t="s">
        <v>65</v>
      </c>
      <c r="C59" s="112" t="s">
        <v>66</v>
      </c>
      <c r="D59" s="112"/>
      <c r="E59" s="112"/>
      <c r="F59" s="112"/>
      <c r="G59" s="112"/>
      <c r="H59" s="89"/>
      <c r="I59" s="89"/>
      <c r="J59" s="89"/>
      <c r="K59" s="89"/>
      <c r="L59" s="89"/>
    </row>
    <row r="60" spans="2:22" ht="18.75" customHeight="1" x14ac:dyDescent="0.25">
      <c r="C60" s="89" t="s">
        <v>67</v>
      </c>
      <c r="D60" s="89"/>
      <c r="E60" s="89"/>
      <c r="F60" s="89"/>
    </row>
    <row r="61" spans="2:22" ht="15" x14ac:dyDescent="0.25">
      <c r="C61" s="89" t="s">
        <v>68</v>
      </c>
      <c r="D61" s="89"/>
      <c r="E61" s="89"/>
      <c r="F61" s="89"/>
      <c r="G61" s="89"/>
      <c r="H61" s="89"/>
      <c r="I61" s="89"/>
      <c r="J61" s="89"/>
      <c r="K61" s="89"/>
      <c r="L61" s="89"/>
      <c r="M61" s="89"/>
      <c r="N61" s="89"/>
      <c r="O61" s="89"/>
      <c r="P61" s="89"/>
    </row>
    <row r="62" spans="2:22" ht="15" x14ac:dyDescent="0.25">
      <c r="C62" s="89"/>
      <c r="D62" s="89"/>
      <c r="E62" s="89"/>
      <c r="F62" s="89"/>
      <c r="G62" s="89"/>
      <c r="H62" s="89"/>
      <c r="I62" s="89"/>
      <c r="J62" s="89"/>
      <c r="K62" s="89"/>
      <c r="L62" s="89"/>
      <c r="M62" s="89"/>
      <c r="N62" s="89"/>
      <c r="O62" s="89"/>
      <c r="P62" s="89"/>
    </row>
    <row r="63" spans="2:22" ht="17.25" customHeight="1" x14ac:dyDescent="0.25">
      <c r="B63" s="93" t="s">
        <v>69</v>
      </c>
      <c r="C63" s="89" t="s">
        <v>70</v>
      </c>
      <c r="D63" s="89"/>
      <c r="E63" s="89"/>
      <c r="F63" s="89"/>
      <c r="G63" s="89"/>
      <c r="H63" s="89"/>
      <c r="I63" s="89"/>
      <c r="J63" s="89"/>
      <c r="K63" s="89"/>
      <c r="L63" s="89"/>
      <c r="M63" s="89"/>
    </row>
    <row r="64" spans="2:22" ht="17.25" customHeight="1" x14ac:dyDescent="0.25">
      <c r="B64" s="93"/>
      <c r="C64" s="89" t="s">
        <v>71</v>
      </c>
      <c r="D64" s="89"/>
      <c r="E64" s="89"/>
      <c r="F64" s="89"/>
      <c r="G64" s="89"/>
      <c r="H64" s="89"/>
      <c r="I64" s="89"/>
      <c r="J64" s="89"/>
      <c r="K64" s="89"/>
      <c r="L64" s="89"/>
      <c r="M64" s="89"/>
    </row>
    <row r="65" spans="2:13" ht="17.25" customHeight="1" x14ac:dyDescent="0.25">
      <c r="B65" s="93"/>
      <c r="C65" s="89" t="s">
        <v>72</v>
      </c>
      <c r="D65" s="89"/>
      <c r="E65" s="89"/>
      <c r="F65" s="89"/>
      <c r="G65" s="89"/>
      <c r="H65" s="89"/>
      <c r="I65" s="89"/>
      <c r="J65" s="89"/>
      <c r="K65" s="89"/>
      <c r="L65" s="89"/>
      <c r="M65" s="89"/>
    </row>
    <row r="66" spans="2:13" ht="17.25" customHeight="1" x14ac:dyDescent="0.25">
      <c r="B66" s="93"/>
      <c r="C66" s="89" t="s">
        <v>73</v>
      </c>
      <c r="D66" s="89"/>
      <c r="E66" s="89"/>
      <c r="F66" s="89"/>
      <c r="G66" s="89"/>
      <c r="H66" s="89"/>
      <c r="I66" s="89"/>
      <c r="J66" s="89"/>
      <c r="K66" s="89"/>
      <c r="L66" s="89"/>
      <c r="M66" s="89"/>
    </row>
    <row r="68" spans="2:13" ht="16.5" customHeight="1" thickBot="1" x14ac:dyDescent="0.3">
      <c r="C68" s="608" t="s">
        <v>74</v>
      </c>
      <c r="D68" s="608"/>
      <c r="E68" s="608"/>
      <c r="F68" s="608"/>
      <c r="G68" s="608"/>
    </row>
    <row r="69" spans="2:13" ht="24.75" customHeight="1" x14ac:dyDescent="0.2">
      <c r="C69" s="466" t="s">
        <v>75</v>
      </c>
      <c r="D69" s="634" t="s">
        <v>76</v>
      </c>
      <c r="E69" s="634"/>
      <c r="F69" s="635" t="s">
        <v>77</v>
      </c>
      <c r="G69" s="636"/>
    </row>
    <row r="70" spans="2:13" ht="21" customHeight="1" x14ac:dyDescent="0.25">
      <c r="C70" s="467">
        <v>0</v>
      </c>
      <c r="D70" s="622">
        <v>8.77</v>
      </c>
      <c r="E70" s="622"/>
      <c r="F70" s="630">
        <f>(C70*D70)</f>
        <v>0</v>
      </c>
      <c r="G70" s="630"/>
    </row>
    <row r="71" spans="2:13" ht="15" x14ac:dyDescent="0.25">
      <c r="C71" s="462"/>
      <c r="D71" s="463"/>
      <c r="E71" s="464"/>
      <c r="F71" s="464"/>
      <c r="G71" s="464"/>
    </row>
    <row r="72" spans="2:13" ht="26.25" customHeight="1" thickBot="1" x14ac:dyDescent="0.3">
      <c r="C72" s="608" t="s">
        <v>78</v>
      </c>
      <c r="D72" s="608"/>
      <c r="E72" s="608"/>
      <c r="F72" s="608"/>
      <c r="G72" s="608"/>
    </row>
    <row r="73" spans="2:13" ht="25.5" customHeight="1" x14ac:dyDescent="0.2">
      <c r="C73" s="466" t="s">
        <v>79</v>
      </c>
      <c r="D73" s="611" t="s">
        <v>80</v>
      </c>
      <c r="E73" s="612"/>
      <c r="F73" s="613" t="s">
        <v>77</v>
      </c>
      <c r="G73" s="613"/>
    </row>
    <row r="74" spans="2:13" ht="21" customHeight="1" x14ac:dyDescent="0.25">
      <c r="C74" s="468">
        <v>0</v>
      </c>
      <c r="D74" s="629">
        <v>1520</v>
      </c>
      <c r="E74" s="629"/>
      <c r="F74" s="630" cm="1">
        <f t="array" ref="F74">_xlfn.IFS(D74 = 1520, (C74/D74)*8.77, D74=2080, (C74/D74)*12, D74=560, (C74/D74)*3.23)</f>
        <v>0</v>
      </c>
      <c r="G74" s="630"/>
    </row>
    <row r="75" spans="2:13" ht="15.75" thickBot="1" x14ac:dyDescent="0.3">
      <c r="C75" s="462"/>
      <c r="D75" s="465"/>
      <c r="E75" s="464"/>
      <c r="F75" s="464"/>
      <c r="G75" s="464"/>
    </row>
    <row r="76" spans="2:13" ht="26.25" hidden="1" customHeight="1" outlineLevel="1" thickBot="1" x14ac:dyDescent="0.3">
      <c r="C76" s="608" t="s">
        <v>81</v>
      </c>
      <c r="D76" s="608"/>
      <c r="E76" s="608"/>
      <c r="F76" s="608"/>
      <c r="G76" s="608"/>
    </row>
    <row r="77" spans="2:13" ht="26.25" hidden="1" customHeight="1" outlineLevel="1" x14ac:dyDescent="0.2">
      <c r="C77" s="466" t="s">
        <v>79</v>
      </c>
      <c r="D77" s="611" t="s">
        <v>82</v>
      </c>
      <c r="E77" s="612"/>
      <c r="F77" s="613" t="s">
        <v>77</v>
      </c>
      <c r="G77" s="613"/>
    </row>
    <row r="78" spans="2:13" ht="26.25" hidden="1" customHeight="1" outlineLevel="1" x14ac:dyDescent="0.25">
      <c r="C78" s="468">
        <v>0</v>
      </c>
      <c r="D78" s="622">
        <v>38</v>
      </c>
      <c r="E78" s="622"/>
      <c r="F78" s="623" cm="1">
        <f t="array" ref="F78">_xlfn.IFS(D78 = 38, (C78/D78)*8.77, D78=52, (C78/D78)*12, D78=14, (C78/D78)*3.23)</f>
        <v>0</v>
      </c>
      <c r="G78" s="623"/>
    </row>
    <row r="79" spans="2:13" ht="16.5" hidden="1" customHeight="1" outlineLevel="1" x14ac:dyDescent="0.2">
      <c r="C79" s="7"/>
      <c r="D79" s="7"/>
      <c r="E79" s="7"/>
      <c r="F79" s="7"/>
      <c r="G79" s="7"/>
    </row>
    <row r="80" spans="2:13" ht="16.5" hidden="1" customHeight="1" outlineLevel="1" thickBot="1" x14ac:dyDescent="0.3">
      <c r="C80" s="608" t="s">
        <v>83</v>
      </c>
      <c r="D80" s="608"/>
      <c r="E80" s="608"/>
      <c r="F80" s="608"/>
      <c r="G80" s="608"/>
    </row>
    <row r="81" spans="3:8" ht="24" hidden="1" outlineLevel="1" x14ac:dyDescent="0.2">
      <c r="C81" s="466" t="s">
        <v>79</v>
      </c>
      <c r="D81" s="611" t="s">
        <v>84</v>
      </c>
      <c r="E81" s="612"/>
      <c r="F81" s="613" t="s">
        <v>77</v>
      </c>
      <c r="G81" s="613"/>
    </row>
    <row r="82" spans="3:8" ht="21" hidden="1" customHeight="1" outlineLevel="1" x14ac:dyDescent="0.2">
      <c r="C82" s="469">
        <v>0</v>
      </c>
      <c r="D82" s="614">
        <v>190</v>
      </c>
      <c r="E82" s="614"/>
      <c r="F82" s="615" cm="1">
        <f t="array" ref="F82">_xlfn.IFS(D82 = 190, (C82/D82)*8.77, D82=260, (C82/D82)*12, D82=70, (C82/D82)*3.23)</f>
        <v>0</v>
      </c>
      <c r="G82" s="615"/>
    </row>
    <row r="83" spans="3:8" ht="12" hidden="1" customHeight="1" outlineLevel="1" x14ac:dyDescent="0.2">
      <c r="C83" s="461"/>
      <c r="D83" s="461"/>
      <c r="E83" s="461"/>
      <c r="F83" s="461"/>
      <c r="G83" s="461"/>
    </row>
    <row r="84" spans="3:8" ht="16.5" hidden="1" outlineLevel="1" thickBot="1" x14ac:dyDescent="0.3">
      <c r="C84" s="608" t="s">
        <v>85</v>
      </c>
      <c r="D84" s="608"/>
      <c r="E84" s="608"/>
      <c r="F84" s="608"/>
      <c r="G84" s="608"/>
    </row>
    <row r="85" spans="3:8" ht="30" hidden="1" customHeight="1" outlineLevel="1" x14ac:dyDescent="0.2">
      <c r="C85" s="470" t="s">
        <v>75</v>
      </c>
      <c r="D85" s="470" t="s">
        <v>86</v>
      </c>
      <c r="E85" s="609" t="s">
        <v>76</v>
      </c>
      <c r="F85" s="609"/>
      <c r="G85" s="474" t="s">
        <v>87</v>
      </c>
    </row>
    <row r="86" spans="3:8" ht="21.75" hidden="1" customHeight="1" outlineLevel="1" x14ac:dyDescent="0.2">
      <c r="C86" s="475">
        <v>0</v>
      </c>
      <c r="D86" s="476">
        <v>0</v>
      </c>
      <c r="E86" s="610">
        <v>8.77</v>
      </c>
      <c r="F86" s="610"/>
      <c r="G86" s="542">
        <f>E86*D86*C86</f>
        <v>0</v>
      </c>
    </row>
    <row r="87" spans="3:8" ht="12" hidden="1" customHeight="1" outlineLevel="1" x14ac:dyDescent="0.2">
      <c r="C87" s="538"/>
      <c r="D87" s="539"/>
      <c r="E87" s="540"/>
      <c r="F87" s="540"/>
      <c r="G87" s="541"/>
    </row>
    <row r="88" spans="3:8" ht="21.75" hidden="1" customHeight="1" outlineLevel="1" thickBot="1" x14ac:dyDescent="0.3">
      <c r="C88" s="608" t="s">
        <v>88</v>
      </c>
      <c r="D88" s="608"/>
      <c r="E88" s="608"/>
      <c r="F88" s="608"/>
      <c r="G88" s="608"/>
    </row>
    <row r="89" spans="3:8" ht="12.75" hidden="1" customHeight="1" outlineLevel="1" x14ac:dyDescent="0.2">
      <c r="C89" s="470" t="s">
        <v>89</v>
      </c>
      <c r="D89" s="470" t="s">
        <v>90</v>
      </c>
      <c r="E89" s="616" t="s">
        <v>91</v>
      </c>
      <c r="F89" s="617"/>
      <c r="G89" s="618"/>
    </row>
    <row r="90" spans="3:8" ht="30" hidden="1" customHeight="1" outlineLevel="1" x14ac:dyDescent="0.2">
      <c r="C90" s="543">
        <v>0</v>
      </c>
      <c r="D90" s="547">
        <v>8.77</v>
      </c>
      <c r="E90" s="619">
        <f>(C90/D90)*12</f>
        <v>0</v>
      </c>
      <c r="F90" s="620"/>
      <c r="G90" s="621"/>
    </row>
    <row r="91" spans="3:8" ht="30" hidden="1" customHeight="1" outlineLevel="1" thickBot="1" x14ac:dyDescent="0.25">
      <c r="C91" s="544"/>
      <c r="D91" s="545"/>
      <c r="E91" s="546"/>
      <c r="F91" s="546"/>
      <c r="G91" s="546"/>
    </row>
    <row r="92" spans="3:8" ht="13.5" customHeight="1" collapsed="1" x14ac:dyDescent="0.25">
      <c r="C92" s="605" t="s">
        <v>92</v>
      </c>
      <c r="D92" s="606"/>
      <c r="E92" s="606"/>
      <c r="F92" s="606"/>
      <c r="G92" s="607"/>
    </row>
    <row r="93" spans="3:8" ht="15" x14ac:dyDescent="0.25">
      <c r="C93" s="107"/>
      <c r="D93" s="113" t="s">
        <v>93</v>
      </c>
      <c r="E93" s="472" t="s">
        <v>94</v>
      </c>
      <c r="F93" s="472" t="s">
        <v>95</v>
      </c>
      <c r="G93" s="114" t="s">
        <v>96</v>
      </c>
    </row>
    <row r="94" spans="3:8" ht="15" x14ac:dyDescent="0.25">
      <c r="C94" s="101" t="s">
        <v>97</v>
      </c>
      <c r="D94" s="102">
        <v>8.77</v>
      </c>
      <c r="E94" s="102">
        <v>38</v>
      </c>
      <c r="F94" s="102">
        <v>190</v>
      </c>
      <c r="G94" s="103">
        <v>1520</v>
      </c>
    </row>
    <row r="95" spans="3:8" ht="15" x14ac:dyDescent="0.25">
      <c r="C95" s="104" t="s">
        <v>98</v>
      </c>
      <c r="D95" s="105">
        <v>3.23</v>
      </c>
      <c r="E95" s="105">
        <v>14</v>
      </c>
      <c r="F95" s="105">
        <v>70</v>
      </c>
      <c r="G95" s="106">
        <v>560</v>
      </c>
      <c r="H95" s="473"/>
    </row>
    <row r="96" spans="3:8" ht="30.75" thickBot="1" x14ac:dyDescent="0.3">
      <c r="C96" s="108" t="s">
        <v>99</v>
      </c>
      <c r="D96" s="109">
        <v>12</v>
      </c>
      <c r="E96" s="109">
        <v>52</v>
      </c>
      <c r="F96" s="109">
        <v>260</v>
      </c>
      <c r="G96" s="110">
        <v>2080</v>
      </c>
      <c r="H96" s="144"/>
    </row>
    <row r="97" spans="3:8" ht="15" x14ac:dyDescent="0.25">
      <c r="C97" s="144"/>
      <c r="D97" s="141"/>
      <c r="E97" s="145"/>
      <c r="F97" s="146"/>
      <c r="G97" s="147"/>
      <c r="H97" s="147"/>
    </row>
    <row r="98" spans="3:8" ht="15" x14ac:dyDescent="0.25">
      <c r="C98" s="144"/>
      <c r="D98" s="141"/>
      <c r="E98" s="145"/>
      <c r="F98" s="146"/>
      <c r="G98" s="147"/>
      <c r="H98" s="147"/>
    </row>
    <row r="99" spans="3:8" ht="15" x14ac:dyDescent="0.25">
      <c r="C99" s="144"/>
      <c r="D99" s="141"/>
      <c r="E99" s="145"/>
      <c r="F99" s="146"/>
      <c r="G99" s="147"/>
      <c r="H99" s="147"/>
    </row>
    <row r="100" spans="3:8" ht="15" x14ac:dyDescent="0.25">
      <c r="C100" s="144"/>
      <c r="D100" s="141"/>
      <c r="E100" s="145"/>
      <c r="F100" s="146"/>
      <c r="G100" s="148"/>
      <c r="H100" s="149"/>
    </row>
    <row r="101" spans="3:8" ht="15" x14ac:dyDescent="0.25">
      <c r="C101" s="144"/>
      <c r="D101" s="141"/>
      <c r="E101" s="145"/>
      <c r="F101" s="146"/>
      <c r="G101" s="147"/>
      <c r="H101" s="149"/>
    </row>
  </sheetData>
  <mergeCells count="37">
    <mergeCell ref="C72:G72"/>
    <mergeCell ref="B1:P3"/>
    <mergeCell ref="C76:G76"/>
    <mergeCell ref="C68:G68"/>
    <mergeCell ref="B58:P58"/>
    <mergeCell ref="B37:P37"/>
    <mergeCell ref="B21:P21"/>
    <mergeCell ref="D69:E69"/>
    <mergeCell ref="F69:G69"/>
    <mergeCell ref="D77:E77"/>
    <mergeCell ref="F77:G77"/>
    <mergeCell ref="D78:E78"/>
    <mergeCell ref="F78:G78"/>
    <mergeCell ref="B5:C5"/>
    <mergeCell ref="B7:C7"/>
    <mergeCell ref="B11:C11"/>
    <mergeCell ref="B15:C15"/>
    <mergeCell ref="B13:C13"/>
    <mergeCell ref="D73:E73"/>
    <mergeCell ref="F73:G73"/>
    <mergeCell ref="D74:E74"/>
    <mergeCell ref="F74:G74"/>
    <mergeCell ref="B17:C17"/>
    <mergeCell ref="D70:E70"/>
    <mergeCell ref="F70:G70"/>
    <mergeCell ref="C92:G92"/>
    <mergeCell ref="C84:G84"/>
    <mergeCell ref="E85:F85"/>
    <mergeCell ref="E86:F86"/>
    <mergeCell ref="C80:G80"/>
    <mergeCell ref="D81:E81"/>
    <mergeCell ref="F81:G81"/>
    <mergeCell ref="D82:E82"/>
    <mergeCell ref="F82:G82"/>
    <mergeCell ref="C88:G88"/>
    <mergeCell ref="E89:G89"/>
    <mergeCell ref="E90:G90"/>
  </mergeCells>
  <dataValidations disablePrompts="1" count="4">
    <dataValidation type="list" allowBlank="1" showInputMessage="1" showErrorMessage="1" sqref="D82:E82" xr:uid="{9E13CB44-D68D-40CA-92C2-CEA7A0B3C725}">
      <formula1>"190, 70, 260"</formula1>
    </dataValidation>
    <dataValidation type="list" allowBlank="1" showInputMessage="1" showErrorMessage="1" sqref="D78:E78" xr:uid="{26D8ED6E-07E4-431B-BC50-0351ABAE9646}">
      <formula1>"38, 14, 52"</formula1>
    </dataValidation>
    <dataValidation type="list" allowBlank="1" showInputMessage="1" showErrorMessage="1" sqref="D74:E74" xr:uid="{F304436B-D9E7-4EBF-BFF7-72CED556EF4C}">
      <formula1>"1520, 560, 2080"</formula1>
    </dataValidation>
    <dataValidation type="list" allowBlank="1" showInputMessage="1" showErrorMessage="1" sqref="D70:E70 E86:F87" xr:uid="{A40AD7F1-2712-4BEA-B747-62D56469BA25}">
      <formula1>"8.77, 3.23, 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2:BC213"/>
  <sheetViews>
    <sheetView showGridLines="0" zoomScaleNormal="100" zoomScaleSheetLayoutView="80" workbookViewId="0">
      <selection activeCell="Y212" sqref="Y212"/>
    </sheetView>
  </sheetViews>
  <sheetFormatPr defaultColWidth="8.7109375" defaultRowHeight="25.5" customHeight="1" outlineLevelRow="1" outlineLevelCol="2" x14ac:dyDescent="0.2"/>
  <cols>
    <col min="1" max="1" width="1.85546875" style="7" customWidth="1"/>
    <col min="2" max="2" width="5.140625" style="7" customWidth="1"/>
    <col min="3" max="3" width="26.85546875" style="7" customWidth="1"/>
    <col min="4" max="4" width="21.85546875" style="7" bestFit="1" customWidth="1"/>
    <col min="5" max="5" width="19.5703125" style="7" customWidth="1"/>
    <col min="6" max="6" width="14.85546875" style="7" bestFit="1" customWidth="1"/>
    <col min="7" max="7" width="12.42578125" style="7" bestFit="1" customWidth="1"/>
    <col min="8" max="8" width="13.5703125" style="7" customWidth="1"/>
    <col min="9" max="9" width="12.42578125" style="7" bestFit="1" customWidth="1"/>
    <col min="10" max="11" width="12.42578125" style="7" customWidth="1"/>
    <col min="12" max="12" width="9.5703125" style="7" customWidth="1"/>
    <col min="13" max="13" width="20.28515625" style="7" hidden="1" customWidth="1" outlineLevel="1"/>
    <col min="14" max="14" width="14.5703125" style="7" hidden="1" customWidth="1" outlineLevel="1"/>
    <col min="15" max="15" width="11.7109375" style="7" hidden="1" customWidth="1" outlineLevel="1"/>
    <col min="16" max="16" width="9.85546875" style="7" hidden="1" customWidth="1" outlineLevel="1"/>
    <col min="17" max="17" width="10.85546875" style="7" hidden="1" customWidth="1" outlineLevel="1"/>
    <col min="18" max="18" width="7.85546875" style="7" hidden="1" customWidth="1" outlineLevel="1"/>
    <col min="19" max="19" width="7.85546875" style="7" customWidth="1" collapsed="1"/>
    <col min="20" max="21" width="16" style="21" customWidth="1"/>
    <col min="22" max="25" width="16" style="21" bestFit="1" customWidth="1"/>
    <col min="26" max="26" width="22.5703125" style="7" hidden="1" customWidth="1" outlineLevel="1"/>
    <col min="27" max="31" width="16" style="7" hidden="1" customWidth="1" outlineLevel="1"/>
    <col min="32" max="32" width="19" style="7" hidden="1" customWidth="1" outlineLevel="1"/>
    <col min="33" max="33" width="8.28515625" hidden="1" customWidth="1" outlineLevel="1"/>
    <col min="34" max="34" width="20.7109375" hidden="1" customWidth="1" outlineLevel="1"/>
    <col min="35" max="35" width="15.42578125" hidden="1" customWidth="1" outlineLevel="1"/>
    <col min="36" max="38" width="13.5703125" hidden="1" customWidth="1" outlineLevel="1"/>
    <col min="39" max="39" width="14" hidden="1" customWidth="1" outlineLevel="1"/>
    <col min="40" max="40" width="11" hidden="1" customWidth="1" outlineLevel="1"/>
    <col min="41" max="41" width="14.5703125" hidden="1" customWidth="1" outlineLevel="1"/>
    <col min="42" max="42" width="22" hidden="1" customWidth="1" outlineLevel="1"/>
    <col min="43" max="43" width="20.28515625" hidden="1" customWidth="1" outlineLevel="1"/>
    <col min="44" max="44" width="25.28515625" hidden="1" customWidth="1" outlineLevel="1"/>
    <col min="45" max="45" width="18" hidden="1" customWidth="1" outlineLevel="1"/>
    <col min="46" max="46" width="2.42578125" style="7" hidden="1" customWidth="1" outlineLevel="1"/>
    <col min="47" max="51" width="13.7109375" style="7" hidden="1" customWidth="1" outlineLevel="2"/>
    <col min="52" max="52" width="5.5703125" style="22" hidden="1" customWidth="1" outlineLevel="1" collapsed="1"/>
    <col min="53" max="53" width="46.140625" style="7" customWidth="1" collapsed="1"/>
    <col min="54" max="16384" width="8.7109375" style="7"/>
  </cols>
  <sheetData>
    <row r="2" spans="2:53" ht="41.25" customHeight="1" x14ac:dyDescent="0.4">
      <c r="B2" s="798" t="s">
        <v>100</v>
      </c>
      <c r="C2" s="798"/>
      <c r="D2" s="798"/>
      <c r="E2" s="798"/>
      <c r="G2" s="20">
        <v>0</v>
      </c>
      <c r="H2" s="20">
        <v>1</v>
      </c>
      <c r="I2" s="20">
        <v>2</v>
      </c>
      <c r="J2" s="20">
        <v>3</v>
      </c>
      <c r="K2" s="20">
        <v>4</v>
      </c>
      <c r="L2" s="20"/>
      <c r="M2" s="20"/>
      <c r="N2" s="20"/>
      <c r="O2" s="20"/>
      <c r="P2" s="20"/>
      <c r="Q2" s="20"/>
      <c r="R2" s="20"/>
      <c r="S2" s="20"/>
      <c r="BA2" s="259" t="s">
        <v>101</v>
      </c>
    </row>
    <row r="3" spans="2:53" ht="31.5" customHeight="1" x14ac:dyDescent="0.3">
      <c r="B3" s="800" t="s">
        <v>102</v>
      </c>
      <c r="C3" s="800"/>
      <c r="D3" s="801"/>
      <c r="E3" s="801"/>
      <c r="F3" s="801"/>
      <c r="G3" s="20"/>
      <c r="H3" s="20"/>
      <c r="I3" s="20"/>
      <c r="J3" s="20"/>
      <c r="K3" s="20"/>
      <c r="L3" s="20"/>
      <c r="M3" s="20"/>
      <c r="N3" s="20"/>
      <c r="O3" s="20"/>
      <c r="P3" s="20"/>
      <c r="Q3" s="20"/>
      <c r="R3" s="20"/>
      <c r="S3" s="20"/>
      <c r="AA3" s="24"/>
    </row>
    <row r="4" spans="2:53" ht="31.5" customHeight="1" x14ac:dyDescent="0.3">
      <c r="B4" s="800" t="s">
        <v>103</v>
      </c>
      <c r="C4" s="800"/>
      <c r="D4" s="802"/>
      <c r="E4" s="802"/>
      <c r="F4" s="802"/>
      <c r="G4" s="20"/>
      <c r="H4" s="20"/>
      <c r="I4" s="20"/>
      <c r="J4" s="20"/>
      <c r="K4" s="20"/>
      <c r="L4" s="20"/>
      <c r="M4" s="20"/>
      <c r="N4" s="20"/>
      <c r="O4" s="20"/>
      <c r="P4" s="20"/>
      <c r="Q4" s="20"/>
      <c r="R4" s="20"/>
      <c r="S4" s="20"/>
      <c r="AA4" s="24"/>
    </row>
    <row r="5" spans="2:53" ht="31.5" customHeight="1" x14ac:dyDescent="0.3">
      <c r="B5" s="800" t="s">
        <v>104</v>
      </c>
      <c r="C5" s="800"/>
      <c r="D5" s="452"/>
      <c r="E5" s="133" t="s">
        <v>105</v>
      </c>
      <c r="F5" s="452"/>
      <c r="G5" s="7">
        <f>DATEDIF(D5,F5+183,"Y")</f>
        <v>0</v>
      </c>
      <c r="H5" s="117" t="s">
        <v>106</v>
      </c>
      <c r="I5" s="20"/>
      <c r="J5" s="20"/>
      <c r="K5" s="20"/>
      <c r="L5" s="20"/>
      <c r="M5" s="20"/>
      <c r="N5" s="20"/>
      <c r="O5" s="20"/>
      <c r="P5" s="20"/>
      <c r="Q5" s="20"/>
      <c r="R5" s="20"/>
      <c r="S5" s="20"/>
      <c r="AA5" s="24"/>
    </row>
    <row r="6" spans="2:53" ht="5.25" customHeight="1" x14ac:dyDescent="0.2"/>
    <row r="7" spans="2:53" ht="4.5" customHeight="1" thickBot="1" x14ac:dyDescent="0.3">
      <c r="B7" s="115"/>
      <c r="C7" s="115"/>
      <c r="D7" s="116"/>
      <c r="E7" s="116"/>
      <c r="F7" s="116"/>
      <c r="G7" s="20"/>
      <c r="H7" s="20"/>
      <c r="I7" s="20"/>
      <c r="J7" s="20"/>
      <c r="K7" s="20"/>
      <c r="L7" s="20"/>
      <c r="M7" s="20"/>
      <c r="N7" s="20"/>
      <c r="O7" s="20"/>
      <c r="P7" s="20"/>
      <c r="Q7" s="20"/>
      <c r="R7" s="20"/>
      <c r="S7" s="20"/>
      <c r="Z7" s="23"/>
      <c r="AA7" s="24"/>
    </row>
    <row r="8" spans="2:53" s="24" customFormat="1" ht="53.25" customHeight="1" thickTop="1" x14ac:dyDescent="0.25">
      <c r="B8" s="223"/>
      <c r="C8" s="224"/>
      <c r="D8" s="223"/>
      <c r="E8" s="224"/>
      <c r="F8" s="225"/>
      <c r="G8" s="223"/>
      <c r="H8" s="223"/>
      <c r="I8" s="223"/>
      <c r="J8" s="223"/>
      <c r="K8" s="223"/>
      <c r="L8" s="223"/>
      <c r="M8" s="223"/>
      <c r="N8" s="223"/>
      <c r="O8" s="223"/>
      <c r="P8" s="223"/>
      <c r="Q8" s="223"/>
      <c r="R8" s="223"/>
      <c r="S8" s="223"/>
      <c r="T8" s="226" t="s">
        <v>107</v>
      </c>
      <c r="U8" s="226" t="s">
        <v>108</v>
      </c>
      <c r="V8" s="226" t="s">
        <v>109</v>
      </c>
      <c r="W8" s="226" t="s">
        <v>110</v>
      </c>
      <c r="X8" s="226" t="s">
        <v>111</v>
      </c>
      <c r="Y8" s="227" t="s">
        <v>112</v>
      </c>
      <c r="Z8" s="559" t="s">
        <v>113</v>
      </c>
      <c r="AA8" s="230" t="s">
        <v>107</v>
      </c>
      <c r="AB8" s="230" t="s">
        <v>108</v>
      </c>
      <c r="AC8" s="231" t="s">
        <v>109</v>
      </c>
      <c r="AD8" s="231" t="s">
        <v>114</v>
      </c>
      <c r="AE8" s="231" t="s">
        <v>111</v>
      </c>
      <c r="AF8" s="232" t="s">
        <v>115</v>
      </c>
      <c r="AG8" s="233"/>
      <c r="AH8" s="233"/>
      <c r="AI8" s="233"/>
      <c r="AJ8" s="233"/>
      <c r="AK8" s="233"/>
      <c r="AL8" s="233"/>
      <c r="AM8" s="233"/>
      <c r="AN8" s="233"/>
      <c r="AO8" s="233"/>
      <c r="AP8" s="233"/>
      <c r="AQ8" s="233"/>
      <c r="AR8" s="233"/>
      <c r="AS8" s="233"/>
      <c r="AT8" s="234"/>
      <c r="AU8" s="233"/>
      <c r="AV8" s="233"/>
      <c r="AW8" s="233"/>
      <c r="AX8" s="233"/>
      <c r="AY8" s="233"/>
      <c r="AZ8" s="235"/>
    </row>
    <row r="9" spans="2:53" ht="55.5" customHeight="1" thickBot="1" x14ac:dyDescent="0.35">
      <c r="B9" s="721" t="s">
        <v>116</v>
      </c>
      <c r="C9" s="721"/>
      <c r="D9" s="721"/>
      <c r="E9" s="721"/>
      <c r="F9" s="721"/>
      <c r="G9" s="721"/>
      <c r="H9" s="721"/>
      <c r="I9" s="721"/>
      <c r="J9" s="228"/>
      <c r="K9" s="228"/>
      <c r="L9" s="229"/>
      <c r="M9" s="229"/>
      <c r="N9" s="229"/>
      <c r="O9" s="229"/>
      <c r="P9" s="229"/>
      <c r="Q9" s="229"/>
      <c r="R9" s="229"/>
      <c r="S9" s="229"/>
      <c r="T9" s="789" t="s">
        <v>117</v>
      </c>
      <c r="U9" s="789"/>
      <c r="V9" s="789"/>
      <c r="W9" s="789"/>
      <c r="X9" s="789"/>
      <c r="Y9" s="790"/>
      <c r="Z9" s="560"/>
      <c r="AA9" s="652" t="s">
        <v>118</v>
      </c>
      <c r="AB9" s="652"/>
      <c r="AC9" s="652"/>
      <c r="AD9" s="652"/>
      <c r="AE9" s="652"/>
      <c r="AF9" s="652"/>
      <c r="AG9" s="652"/>
      <c r="AH9" s="652"/>
      <c r="AI9" s="652"/>
      <c r="AJ9" s="652"/>
      <c r="AK9" s="652"/>
      <c r="AL9" s="652"/>
      <c r="AM9" s="652"/>
      <c r="AN9" s="652"/>
      <c r="AO9" s="652"/>
      <c r="AP9" s="652"/>
      <c r="AQ9" s="293"/>
      <c r="AR9" s="653" t="s">
        <v>117</v>
      </c>
      <c r="AS9" s="653"/>
      <c r="AT9" s="653"/>
      <c r="AU9" s="653"/>
      <c r="AV9" s="653"/>
      <c r="AW9" s="653"/>
      <c r="AX9" s="653"/>
      <c r="AY9" s="653"/>
      <c r="AZ9" s="653"/>
    </row>
    <row r="10" spans="2:53" ht="68.25" customHeight="1" thickTop="1" x14ac:dyDescent="0.25">
      <c r="B10" s="769" t="s">
        <v>119</v>
      </c>
      <c r="C10" s="769"/>
      <c r="D10" s="54" t="s">
        <v>120</v>
      </c>
      <c r="E10" s="60" t="s">
        <v>89</v>
      </c>
      <c r="F10" s="61" t="s">
        <v>121</v>
      </c>
      <c r="G10" s="62" t="s">
        <v>122</v>
      </c>
      <c r="H10" s="62" t="s">
        <v>123</v>
      </c>
      <c r="I10" s="62" t="s">
        <v>124</v>
      </c>
      <c r="J10" s="59" t="s">
        <v>125</v>
      </c>
      <c r="K10" s="59" t="s">
        <v>126</v>
      </c>
      <c r="L10" s="644" t="s">
        <v>127</v>
      </c>
      <c r="M10" s="644"/>
      <c r="N10" s="644"/>
      <c r="O10" s="644"/>
      <c r="P10" s="644"/>
      <c r="Q10" s="644"/>
      <c r="R10" s="644"/>
      <c r="S10" s="644"/>
      <c r="T10" s="374" t="s">
        <v>128</v>
      </c>
      <c r="U10" s="374" t="s">
        <v>129</v>
      </c>
      <c r="V10" s="374" t="s">
        <v>130</v>
      </c>
      <c r="W10" s="374" t="s">
        <v>131</v>
      </c>
      <c r="X10" s="374" t="s">
        <v>132</v>
      </c>
      <c r="Y10" s="558" t="s">
        <v>112</v>
      </c>
      <c r="Z10" s="561"/>
      <c r="AA10" s="55" t="s">
        <v>128</v>
      </c>
      <c r="AB10" s="55" t="s">
        <v>129</v>
      </c>
      <c r="AC10" s="384" t="s">
        <v>130</v>
      </c>
      <c r="AD10" s="384" t="s">
        <v>131</v>
      </c>
      <c r="AE10" s="384" t="s">
        <v>132</v>
      </c>
      <c r="AF10" s="378" t="s">
        <v>133</v>
      </c>
      <c r="AG10" s="394"/>
      <c r="AH10" s="59" t="s">
        <v>122</v>
      </c>
      <c r="AI10" s="59" t="s">
        <v>123</v>
      </c>
      <c r="AJ10" s="59" t="s">
        <v>124</v>
      </c>
      <c r="AK10" s="59" t="s">
        <v>125</v>
      </c>
      <c r="AL10" s="59" t="s">
        <v>126</v>
      </c>
      <c r="AM10" s="661" t="s">
        <v>134</v>
      </c>
      <c r="AN10" s="661"/>
      <c r="AO10" s="659" t="s">
        <v>119</v>
      </c>
      <c r="AP10" s="659"/>
      <c r="AQ10" s="54" t="s">
        <v>120</v>
      </c>
      <c r="AR10" s="60" t="s">
        <v>89</v>
      </c>
      <c r="AS10" s="61" t="s">
        <v>121</v>
      </c>
      <c r="AZ10" s="203"/>
    </row>
    <row r="11" spans="2:53" ht="25.5" customHeight="1" x14ac:dyDescent="0.25">
      <c r="B11" s="799"/>
      <c r="C11" s="799"/>
      <c r="D11" s="18" t="s">
        <v>135</v>
      </c>
      <c r="E11" s="260"/>
      <c r="F11" s="209">
        <v>8.77</v>
      </c>
      <c r="G11" s="261"/>
      <c r="H11" s="261"/>
      <c r="I11" s="261"/>
      <c r="J11" s="261"/>
      <c r="K11" s="261"/>
      <c r="L11" s="645"/>
      <c r="M11" s="645"/>
      <c r="N11" s="645"/>
      <c r="O11" s="645"/>
      <c r="P11" s="645"/>
      <c r="Q11" s="645"/>
      <c r="R11" s="645"/>
      <c r="S11" s="645"/>
      <c r="T11" s="26">
        <f t="shared" ref="T11:T18" si="0">ROUND($E11/$F11*G11,0)</f>
        <v>0</v>
      </c>
      <c r="U11" s="26">
        <f>ROUND($E11*1.03^H$2/$F11*H11,0)</f>
        <v>0</v>
      </c>
      <c r="V11" s="26">
        <f>ROUND($E11*1.03^I$2/$F11*I11,0)</f>
        <v>0</v>
      </c>
      <c r="W11" s="26">
        <f t="shared" ref="U11:X29" si="1">ROUND($E11*1.03^J$2/$F11*J11,0)</f>
        <v>0</v>
      </c>
      <c r="X11" s="26">
        <f t="shared" si="1"/>
        <v>0</v>
      </c>
      <c r="Y11" s="69">
        <f>ROUND(SUM(T11:X11),0)</f>
        <v>0</v>
      </c>
      <c r="Z11" s="563">
        <f t="shared" ref="Z11:Z29" si="2">Y11+$AF11</f>
        <v>0</v>
      </c>
      <c r="AA11" s="562">
        <f>ROUND($AR11/AS11*AH11,0)</f>
        <v>0</v>
      </c>
      <c r="AB11" s="242">
        <f t="shared" ref="AB11:AB29" si="3">ROUND(AR11*1.03^H$2/$AS11*AI11,0)</f>
        <v>0</v>
      </c>
      <c r="AC11" s="242">
        <f t="shared" ref="AC11:AE12" si="4">ROUND($AR11*1.03^I$2/$AS11*AJ11,0)</f>
        <v>0</v>
      </c>
      <c r="AD11" s="242">
        <f t="shared" si="4"/>
        <v>0</v>
      </c>
      <c r="AE11" s="242">
        <f t="shared" si="4"/>
        <v>0</v>
      </c>
      <c r="AF11" s="243">
        <f t="shared" ref="AF11:AF29" si="5">SUM(AA11:AE11)</f>
        <v>0</v>
      </c>
      <c r="AG11" s="179"/>
      <c r="AH11" s="262"/>
      <c r="AI11" s="262"/>
      <c r="AJ11" s="263"/>
      <c r="AK11" s="263"/>
      <c r="AL11" s="263"/>
      <c r="AM11" s="662"/>
      <c r="AN11" s="662"/>
      <c r="AO11" s="650"/>
      <c r="AP11" s="651"/>
      <c r="AQ11" s="345" t="s">
        <v>135</v>
      </c>
      <c r="AR11" s="342"/>
      <c r="AS11" s="344">
        <v>8.77</v>
      </c>
      <c r="AZ11" s="151"/>
    </row>
    <row r="12" spans="2:53" ht="25.5" customHeight="1" x14ac:dyDescent="0.25">
      <c r="B12" s="799"/>
      <c r="C12" s="799"/>
      <c r="D12" s="18" t="s">
        <v>136</v>
      </c>
      <c r="E12" s="260"/>
      <c r="F12" s="209">
        <v>8.77</v>
      </c>
      <c r="G12" s="261"/>
      <c r="H12" s="261"/>
      <c r="I12" s="261"/>
      <c r="J12" s="261"/>
      <c r="K12" s="261"/>
      <c r="L12" s="461"/>
      <c r="M12" s="608" t="s">
        <v>74</v>
      </c>
      <c r="N12" s="608"/>
      <c r="O12" s="608"/>
      <c r="P12" s="608"/>
      <c r="Q12" s="608"/>
      <c r="R12" s="461"/>
      <c r="S12" s="461"/>
      <c r="T12" s="26">
        <f t="shared" si="0"/>
        <v>0</v>
      </c>
      <c r="U12" s="26">
        <f t="shared" si="1"/>
        <v>0</v>
      </c>
      <c r="V12" s="26">
        <f t="shared" si="1"/>
        <v>0</v>
      </c>
      <c r="W12" s="26">
        <f t="shared" si="1"/>
        <v>0</v>
      </c>
      <c r="X12" s="26">
        <f t="shared" si="1"/>
        <v>0</v>
      </c>
      <c r="Y12" s="69">
        <f t="shared" ref="Y12:Y29" si="6">ROUND(SUM(T12:X12),0)</f>
        <v>0</v>
      </c>
      <c r="Z12" s="561">
        <f t="shared" si="2"/>
        <v>0</v>
      </c>
      <c r="AA12" s="562">
        <f t="shared" ref="AA12:AA29" si="7">ROUND($AR12/AS12*AH12,0)</f>
        <v>0</v>
      </c>
      <c r="AB12" s="242">
        <f t="shared" si="3"/>
        <v>0</v>
      </c>
      <c r="AC12" s="242">
        <f t="shared" si="4"/>
        <v>0</v>
      </c>
      <c r="AD12" s="242">
        <f t="shared" si="4"/>
        <v>0</v>
      </c>
      <c r="AE12" s="242">
        <f t="shared" si="4"/>
        <v>0</v>
      </c>
      <c r="AF12" s="243">
        <f t="shared" si="5"/>
        <v>0</v>
      </c>
      <c r="AG12" s="179"/>
      <c r="AH12" s="261"/>
      <c r="AI12" s="261"/>
      <c r="AJ12" s="264"/>
      <c r="AK12" s="264"/>
      <c r="AL12" s="264"/>
      <c r="AM12" s="662"/>
      <c r="AN12" s="662"/>
      <c r="AO12" s="650"/>
      <c r="AP12" s="651"/>
      <c r="AQ12" s="345" t="s">
        <v>136</v>
      </c>
      <c r="AR12" s="342"/>
      <c r="AS12" s="344">
        <v>8.77</v>
      </c>
      <c r="AZ12" s="151"/>
    </row>
    <row r="13" spans="2:53" ht="25.5" customHeight="1" x14ac:dyDescent="0.25">
      <c r="B13" s="799"/>
      <c r="C13" s="799"/>
      <c r="D13" s="604" t="s">
        <v>136</v>
      </c>
      <c r="E13" s="260"/>
      <c r="F13" s="209">
        <v>8.77</v>
      </c>
      <c r="G13" s="261"/>
      <c r="H13" s="261"/>
      <c r="I13" s="261"/>
      <c r="J13" s="261"/>
      <c r="K13" s="261"/>
      <c r="L13" s="461"/>
      <c r="M13" s="466" t="s">
        <v>75</v>
      </c>
      <c r="N13" s="634" t="s">
        <v>76</v>
      </c>
      <c r="O13" s="634"/>
      <c r="P13" s="635" t="s">
        <v>77</v>
      </c>
      <c r="Q13" s="636"/>
      <c r="R13" s="461"/>
      <c r="S13" s="461"/>
      <c r="T13" s="26">
        <f t="shared" si="0"/>
        <v>0</v>
      </c>
      <c r="U13" s="26">
        <f>ROUND($E13*1.03^H$2/$F13*H13,0)</f>
        <v>0</v>
      </c>
      <c r="V13" s="26">
        <f t="shared" si="1"/>
        <v>0</v>
      </c>
      <c r="W13" s="26">
        <f t="shared" si="1"/>
        <v>0</v>
      </c>
      <c r="X13" s="26">
        <f t="shared" si="1"/>
        <v>0</v>
      </c>
      <c r="Y13" s="69">
        <f t="shared" si="6"/>
        <v>0</v>
      </c>
      <c r="Z13" s="561">
        <f t="shared" si="2"/>
        <v>0</v>
      </c>
      <c r="AA13" s="562">
        <f>ROUND($AR13/AS13*AH13,0)</f>
        <v>0</v>
      </c>
      <c r="AB13" s="242">
        <f t="shared" si="3"/>
        <v>0</v>
      </c>
      <c r="AC13" s="242">
        <f>ROUND($AR13*1.03^I$2/$AS13*AJ13,0)</f>
        <v>0</v>
      </c>
      <c r="AD13" s="242">
        <f t="shared" ref="AD13:AD29" si="8">ROUND($AR13*1.03^J$2/$AS13*AK13,0)</f>
        <v>0</v>
      </c>
      <c r="AE13" s="242">
        <f t="shared" ref="AE13:AE27" si="9">ROUND($AR13*1.03^K$2/$AS13*AL13,0)</f>
        <v>0</v>
      </c>
      <c r="AF13" s="243">
        <f t="shared" si="5"/>
        <v>0</v>
      </c>
      <c r="AG13" s="179"/>
      <c r="AH13" s="261"/>
      <c r="AI13" s="261"/>
      <c r="AJ13" s="264"/>
      <c r="AK13" s="264"/>
      <c r="AL13" s="264"/>
      <c r="AM13" s="662"/>
      <c r="AN13" s="662"/>
      <c r="AO13" s="650"/>
      <c r="AP13" s="651"/>
      <c r="AQ13" s="594" t="s">
        <v>136</v>
      </c>
      <c r="AR13" s="342"/>
      <c r="AS13" s="344">
        <v>8.77</v>
      </c>
      <c r="AZ13" s="151"/>
    </row>
    <row r="14" spans="2:53" ht="25.5" customHeight="1" x14ac:dyDescent="0.25">
      <c r="B14" s="646"/>
      <c r="C14" s="647"/>
      <c r="D14" s="604" t="s">
        <v>136</v>
      </c>
      <c r="E14" s="260"/>
      <c r="F14" s="209">
        <v>8.77</v>
      </c>
      <c r="G14" s="261"/>
      <c r="H14" s="261"/>
      <c r="I14" s="261"/>
      <c r="J14" s="261"/>
      <c r="K14" s="261"/>
      <c r="L14" s="461"/>
      <c r="M14" s="467">
        <v>0</v>
      </c>
      <c r="N14" s="622">
        <v>8.77</v>
      </c>
      <c r="O14" s="622"/>
      <c r="P14" s="630">
        <f>(M14*N14)</f>
        <v>0</v>
      </c>
      <c r="Q14" s="630"/>
      <c r="R14" s="461"/>
      <c r="S14" s="461"/>
      <c r="T14" s="26">
        <f t="shared" si="0"/>
        <v>0</v>
      </c>
      <c r="U14" s="26">
        <f t="shared" si="1"/>
        <v>0</v>
      </c>
      <c r="V14" s="26">
        <f t="shared" si="1"/>
        <v>0</v>
      </c>
      <c r="W14" s="26">
        <f t="shared" si="1"/>
        <v>0</v>
      </c>
      <c r="X14" s="26">
        <f t="shared" si="1"/>
        <v>0</v>
      </c>
      <c r="Y14" s="69">
        <f t="shared" si="6"/>
        <v>0</v>
      </c>
      <c r="Z14" s="561">
        <f t="shared" si="2"/>
        <v>0</v>
      </c>
      <c r="AA14" s="562">
        <f t="shared" ref="AA14:AA26" si="10">ROUND($AR14/AS14*AH14,0)</f>
        <v>0</v>
      </c>
      <c r="AB14" s="242">
        <f t="shared" si="3"/>
        <v>0</v>
      </c>
      <c r="AC14" s="242">
        <f t="shared" ref="AC14:AC26" si="11">ROUND($AR14*1.03^I$2/$AS14*AJ14,0)</f>
        <v>0</v>
      </c>
      <c r="AD14" s="242">
        <f t="shared" si="8"/>
        <v>0</v>
      </c>
      <c r="AE14" s="242">
        <f t="shared" si="9"/>
        <v>0</v>
      </c>
      <c r="AF14" s="243">
        <f t="shared" si="5"/>
        <v>0</v>
      </c>
      <c r="AG14" s="179"/>
      <c r="AH14" s="261"/>
      <c r="AI14" s="261"/>
      <c r="AJ14" s="264"/>
      <c r="AK14" s="264"/>
      <c r="AL14" s="264"/>
      <c r="AM14" s="662"/>
      <c r="AN14" s="662"/>
      <c r="AO14" s="650"/>
      <c r="AP14" s="651"/>
      <c r="AQ14" s="594" t="s">
        <v>137</v>
      </c>
      <c r="AR14" s="342"/>
      <c r="AS14" s="344">
        <v>8.77</v>
      </c>
      <c r="AZ14" s="151"/>
    </row>
    <row r="15" spans="2:53" ht="25.5" customHeight="1" x14ac:dyDescent="0.25">
      <c r="B15" s="646"/>
      <c r="C15" s="647"/>
      <c r="D15" s="604" t="s">
        <v>136</v>
      </c>
      <c r="E15" s="260"/>
      <c r="F15" s="209">
        <v>8.77</v>
      </c>
      <c r="G15" s="261"/>
      <c r="H15" s="261"/>
      <c r="I15" s="261"/>
      <c r="J15" s="261"/>
      <c r="K15" s="261"/>
      <c r="L15" s="461"/>
      <c r="M15" s="462"/>
      <c r="N15" s="463"/>
      <c r="O15" s="464"/>
      <c r="P15" s="464"/>
      <c r="Q15" s="464"/>
      <c r="R15" s="461"/>
      <c r="T15" s="26">
        <f t="shared" si="0"/>
        <v>0</v>
      </c>
      <c r="U15" s="26">
        <f t="shared" si="1"/>
        <v>0</v>
      </c>
      <c r="V15" s="26">
        <f t="shared" si="1"/>
        <v>0</v>
      </c>
      <c r="W15" s="26">
        <f t="shared" si="1"/>
        <v>0</v>
      </c>
      <c r="X15" s="26">
        <f t="shared" si="1"/>
        <v>0</v>
      </c>
      <c r="Y15" s="69">
        <f t="shared" si="6"/>
        <v>0</v>
      </c>
      <c r="Z15" s="561">
        <f t="shared" si="2"/>
        <v>0</v>
      </c>
      <c r="AA15" s="562">
        <f t="shared" si="10"/>
        <v>0</v>
      </c>
      <c r="AB15" s="242">
        <f t="shared" si="3"/>
        <v>0</v>
      </c>
      <c r="AC15" s="242">
        <f t="shared" si="11"/>
        <v>0</v>
      </c>
      <c r="AD15" s="242">
        <f t="shared" si="8"/>
        <v>0</v>
      </c>
      <c r="AE15" s="242">
        <f t="shared" si="9"/>
        <v>0</v>
      </c>
      <c r="AF15" s="243">
        <f t="shared" si="5"/>
        <v>0</v>
      </c>
      <c r="AG15" s="179"/>
      <c r="AH15" s="261"/>
      <c r="AI15" s="261"/>
      <c r="AJ15" s="264"/>
      <c r="AK15" s="264"/>
      <c r="AL15" s="264"/>
      <c r="AM15" s="662"/>
      <c r="AN15" s="662"/>
      <c r="AO15" s="648"/>
      <c r="AP15" s="649"/>
      <c r="AQ15" s="594" t="s">
        <v>137</v>
      </c>
      <c r="AR15" s="342"/>
      <c r="AS15" s="344">
        <v>8.77</v>
      </c>
      <c r="AZ15" s="151"/>
    </row>
    <row r="16" spans="2:53" ht="25.5" customHeight="1" x14ac:dyDescent="0.25">
      <c r="B16" s="646"/>
      <c r="C16" s="647"/>
      <c r="D16" s="604" t="s">
        <v>137</v>
      </c>
      <c r="E16" s="260"/>
      <c r="F16" s="209">
        <v>8.77</v>
      </c>
      <c r="G16" s="261"/>
      <c r="H16" s="261"/>
      <c r="I16" s="261"/>
      <c r="J16" s="261"/>
      <c r="K16" s="261"/>
      <c r="L16" s="461"/>
      <c r="M16" s="608" t="s">
        <v>78</v>
      </c>
      <c r="N16" s="608"/>
      <c r="O16" s="608"/>
      <c r="P16" s="608"/>
      <c r="Q16" s="608"/>
      <c r="R16" s="461"/>
      <c r="S16" s="461"/>
      <c r="T16" s="26">
        <f t="shared" si="0"/>
        <v>0</v>
      </c>
      <c r="U16" s="26">
        <f t="shared" si="1"/>
        <v>0</v>
      </c>
      <c r="V16" s="26">
        <f t="shared" si="1"/>
        <v>0</v>
      </c>
      <c r="W16" s="26">
        <f t="shared" si="1"/>
        <v>0</v>
      </c>
      <c r="X16" s="26">
        <f t="shared" si="1"/>
        <v>0</v>
      </c>
      <c r="Y16" s="69">
        <f t="shared" si="6"/>
        <v>0</v>
      </c>
      <c r="Z16" s="561">
        <f t="shared" si="2"/>
        <v>0</v>
      </c>
      <c r="AA16" s="562">
        <f t="shared" si="10"/>
        <v>0</v>
      </c>
      <c r="AB16" s="242">
        <f t="shared" si="3"/>
        <v>0</v>
      </c>
      <c r="AC16" s="242">
        <f t="shared" si="11"/>
        <v>0</v>
      </c>
      <c r="AD16" s="242">
        <f t="shared" si="8"/>
        <v>0</v>
      </c>
      <c r="AE16" s="242">
        <f t="shared" si="9"/>
        <v>0</v>
      </c>
      <c r="AF16" s="243">
        <f t="shared" si="5"/>
        <v>0</v>
      </c>
      <c r="AG16" s="179"/>
      <c r="AH16" s="261"/>
      <c r="AI16" s="261"/>
      <c r="AJ16" s="264"/>
      <c r="AK16" s="264"/>
      <c r="AL16" s="264"/>
      <c r="AM16" s="662"/>
      <c r="AN16" s="662"/>
      <c r="AO16" s="648"/>
      <c r="AP16" s="649"/>
      <c r="AQ16" s="594" t="s">
        <v>137</v>
      </c>
      <c r="AR16" s="342"/>
      <c r="AS16" s="344">
        <v>8.77</v>
      </c>
      <c r="AZ16" s="151"/>
    </row>
    <row r="17" spans="2:53" ht="25.5" customHeight="1" x14ac:dyDescent="0.25">
      <c r="B17" s="646"/>
      <c r="C17" s="647"/>
      <c r="D17" s="604" t="s">
        <v>137</v>
      </c>
      <c r="E17" s="260"/>
      <c r="F17" s="209">
        <v>12</v>
      </c>
      <c r="G17" s="261"/>
      <c r="H17" s="261"/>
      <c r="I17" s="261"/>
      <c r="J17" s="261"/>
      <c r="K17" s="261"/>
      <c r="L17" s="461"/>
      <c r="M17" s="468">
        <v>0</v>
      </c>
      <c r="N17" s="629">
        <v>1520</v>
      </c>
      <c r="O17" s="629"/>
      <c r="P17" s="630" cm="1">
        <f t="array" ref="P17">_xlfn.IFS(N17 = 1520, (M17/N17)*8.77, N17=2080, (M17/N17)*12, N17=560, (M17/N17)*3.23)</f>
        <v>0</v>
      </c>
      <c r="Q17" s="630"/>
      <c r="R17" s="461"/>
      <c r="S17" s="461"/>
      <c r="T17" s="26">
        <f t="shared" si="0"/>
        <v>0</v>
      </c>
      <c r="U17" s="26">
        <f t="shared" si="1"/>
        <v>0</v>
      </c>
      <c r="V17" s="26">
        <f t="shared" si="1"/>
        <v>0</v>
      </c>
      <c r="W17" s="26">
        <f t="shared" si="1"/>
        <v>0</v>
      </c>
      <c r="X17" s="26">
        <f t="shared" si="1"/>
        <v>0</v>
      </c>
      <c r="Y17" s="69">
        <f t="shared" si="6"/>
        <v>0</v>
      </c>
      <c r="Z17" s="561">
        <f t="shared" si="2"/>
        <v>0</v>
      </c>
      <c r="AA17" s="562">
        <f t="shared" si="10"/>
        <v>0</v>
      </c>
      <c r="AB17" s="242">
        <f t="shared" si="3"/>
        <v>0</v>
      </c>
      <c r="AC17" s="242">
        <f t="shared" si="11"/>
        <v>0</v>
      </c>
      <c r="AD17" s="242">
        <f t="shared" si="8"/>
        <v>0</v>
      </c>
      <c r="AE17" s="242">
        <f t="shared" si="9"/>
        <v>0</v>
      </c>
      <c r="AF17" s="243">
        <f t="shared" si="5"/>
        <v>0</v>
      </c>
      <c r="AG17" s="179"/>
      <c r="AH17" s="261"/>
      <c r="AI17" s="261"/>
      <c r="AJ17" s="264"/>
      <c r="AK17" s="264"/>
      <c r="AL17" s="264"/>
      <c r="AM17" s="662"/>
      <c r="AN17" s="662"/>
      <c r="AO17" s="648"/>
      <c r="AP17" s="649"/>
      <c r="AQ17" s="594" t="s">
        <v>137</v>
      </c>
      <c r="AR17" s="342"/>
      <c r="AS17" s="344">
        <v>8.77</v>
      </c>
      <c r="AZ17" s="151"/>
    </row>
    <row r="18" spans="2:53" ht="25.5" customHeight="1" x14ac:dyDescent="0.25">
      <c r="B18" s="646"/>
      <c r="C18" s="647"/>
      <c r="D18" s="604" t="s">
        <v>137</v>
      </c>
      <c r="E18" s="260"/>
      <c r="F18" s="209">
        <v>12</v>
      </c>
      <c r="G18" s="261"/>
      <c r="H18" s="261"/>
      <c r="I18" s="261"/>
      <c r="J18" s="261"/>
      <c r="K18" s="261"/>
      <c r="L18" s="461"/>
      <c r="M18" s="462"/>
      <c r="N18" s="465"/>
      <c r="O18" s="464"/>
      <c r="P18" s="464"/>
      <c r="Q18" s="464"/>
      <c r="R18" s="461"/>
      <c r="S18" s="461"/>
      <c r="T18" s="26">
        <f t="shared" si="0"/>
        <v>0</v>
      </c>
      <c r="U18" s="26">
        <f t="shared" si="1"/>
        <v>0</v>
      </c>
      <c r="V18" s="26">
        <f t="shared" si="1"/>
        <v>0</v>
      </c>
      <c r="W18" s="26">
        <f t="shared" si="1"/>
        <v>0</v>
      </c>
      <c r="X18" s="26">
        <f t="shared" si="1"/>
        <v>0</v>
      </c>
      <c r="Y18" s="69">
        <f t="shared" si="6"/>
        <v>0</v>
      </c>
      <c r="Z18" s="561">
        <f t="shared" si="2"/>
        <v>0</v>
      </c>
      <c r="AA18" s="562">
        <f t="shared" si="10"/>
        <v>0</v>
      </c>
      <c r="AB18" s="242">
        <f t="shared" si="3"/>
        <v>0</v>
      </c>
      <c r="AC18" s="242">
        <f t="shared" si="11"/>
        <v>0</v>
      </c>
      <c r="AD18" s="242">
        <f t="shared" si="8"/>
        <v>0</v>
      </c>
      <c r="AE18" s="242">
        <f t="shared" si="9"/>
        <v>0</v>
      </c>
      <c r="AF18" s="243">
        <f t="shared" si="5"/>
        <v>0</v>
      </c>
      <c r="AG18" s="179"/>
      <c r="AH18" s="261"/>
      <c r="AI18" s="261"/>
      <c r="AJ18" s="264"/>
      <c r="AK18" s="264"/>
      <c r="AL18" s="264"/>
      <c r="AM18" s="662"/>
      <c r="AN18" s="662"/>
      <c r="AO18" s="648"/>
      <c r="AP18" s="649"/>
      <c r="AQ18" s="594" t="s">
        <v>137</v>
      </c>
      <c r="AR18" s="342"/>
      <c r="AS18" s="344">
        <v>8.77</v>
      </c>
      <c r="AZ18" s="151"/>
    </row>
    <row r="19" spans="2:53" ht="25.5" customHeight="1" thickBot="1" x14ac:dyDescent="0.3">
      <c r="B19" s="646"/>
      <c r="C19" s="647"/>
      <c r="D19" s="604" t="s">
        <v>137</v>
      </c>
      <c r="E19" s="260"/>
      <c r="F19" s="209">
        <v>8.77</v>
      </c>
      <c r="G19" s="261"/>
      <c r="H19" s="261"/>
      <c r="I19" s="261"/>
      <c r="J19" s="261"/>
      <c r="K19" s="261"/>
      <c r="L19" s="461"/>
      <c r="M19" s="608" t="s">
        <v>81</v>
      </c>
      <c r="N19" s="608"/>
      <c r="O19" s="608"/>
      <c r="P19" s="608"/>
      <c r="Q19" s="608"/>
      <c r="R19" s="461"/>
      <c r="S19" s="461"/>
      <c r="T19" s="26">
        <f t="shared" ref="T19:T29" si="12">ROUND($E19/$F19*G19,0)</f>
        <v>0</v>
      </c>
      <c r="U19" s="26">
        <f t="shared" si="1"/>
        <v>0</v>
      </c>
      <c r="V19" s="26">
        <f t="shared" si="1"/>
        <v>0</v>
      </c>
      <c r="W19" s="26">
        <f t="shared" si="1"/>
        <v>0</v>
      </c>
      <c r="X19" s="26">
        <f t="shared" si="1"/>
        <v>0</v>
      </c>
      <c r="Y19" s="69">
        <f t="shared" si="6"/>
        <v>0</v>
      </c>
      <c r="Z19" s="563">
        <f t="shared" si="2"/>
        <v>0</v>
      </c>
      <c r="AA19" s="562">
        <f t="shared" si="10"/>
        <v>0</v>
      </c>
      <c r="AB19" s="242">
        <f t="shared" si="3"/>
        <v>0</v>
      </c>
      <c r="AC19" s="242">
        <f t="shared" si="11"/>
        <v>0</v>
      </c>
      <c r="AD19" s="242">
        <f t="shared" si="8"/>
        <v>0</v>
      </c>
      <c r="AE19" s="242">
        <f t="shared" si="9"/>
        <v>0</v>
      </c>
      <c r="AF19" s="243">
        <f t="shared" si="5"/>
        <v>0</v>
      </c>
      <c r="AG19" s="179"/>
      <c r="AH19" s="261"/>
      <c r="AI19" s="261"/>
      <c r="AJ19" s="264"/>
      <c r="AK19" s="264"/>
      <c r="AL19" s="264"/>
      <c r="AM19" s="662"/>
      <c r="AN19" s="662"/>
      <c r="AO19" s="648"/>
      <c r="AP19" s="649"/>
      <c r="AQ19" s="594" t="s">
        <v>137</v>
      </c>
      <c r="AR19" s="342"/>
      <c r="AS19" s="344">
        <v>8.77</v>
      </c>
      <c r="AZ19" s="151"/>
    </row>
    <row r="20" spans="2:53" ht="25.5" hidden="1" customHeight="1" outlineLevel="1" x14ac:dyDescent="0.25">
      <c r="B20" s="646"/>
      <c r="C20" s="647"/>
      <c r="D20" s="604" t="s">
        <v>137</v>
      </c>
      <c r="E20" s="260"/>
      <c r="F20" s="209">
        <v>8.77</v>
      </c>
      <c r="G20" s="261"/>
      <c r="H20" s="261"/>
      <c r="I20" s="261"/>
      <c r="J20" s="261"/>
      <c r="K20" s="261"/>
      <c r="L20" s="461"/>
      <c r="M20" s="466" t="s">
        <v>79</v>
      </c>
      <c r="N20" s="611" t="s">
        <v>82</v>
      </c>
      <c r="O20" s="612"/>
      <c r="P20" s="613" t="s">
        <v>77</v>
      </c>
      <c r="Q20" s="613"/>
      <c r="R20" s="461"/>
      <c r="S20" s="461"/>
      <c r="T20" s="26">
        <f t="shared" si="12"/>
        <v>0</v>
      </c>
      <c r="U20" s="26">
        <f t="shared" si="1"/>
        <v>0</v>
      </c>
      <c r="V20" s="26">
        <f t="shared" si="1"/>
        <v>0</v>
      </c>
      <c r="W20" s="26">
        <f t="shared" si="1"/>
        <v>0</v>
      </c>
      <c r="X20" s="26">
        <f t="shared" si="1"/>
        <v>0</v>
      </c>
      <c r="Y20" s="69">
        <f t="shared" si="6"/>
        <v>0</v>
      </c>
      <c r="Z20" s="563">
        <f t="shared" si="2"/>
        <v>0</v>
      </c>
      <c r="AA20" s="562">
        <f t="shared" si="10"/>
        <v>0</v>
      </c>
      <c r="AB20" s="242">
        <f t="shared" si="3"/>
        <v>0</v>
      </c>
      <c r="AC20" s="242">
        <f t="shared" si="11"/>
        <v>0</v>
      </c>
      <c r="AD20" s="242">
        <f t="shared" si="8"/>
        <v>0</v>
      </c>
      <c r="AE20" s="242">
        <f t="shared" si="9"/>
        <v>0</v>
      </c>
      <c r="AF20" s="243">
        <f t="shared" si="5"/>
        <v>0</v>
      </c>
      <c r="AG20" s="179"/>
      <c r="AH20" s="261"/>
      <c r="AI20" s="261"/>
      <c r="AJ20" s="264"/>
      <c r="AK20" s="264"/>
      <c r="AL20" s="264"/>
      <c r="AM20" s="662"/>
      <c r="AN20" s="662"/>
      <c r="AO20" s="648"/>
      <c r="AP20" s="649"/>
      <c r="AQ20" s="594" t="s">
        <v>137</v>
      </c>
      <c r="AR20" s="342"/>
      <c r="AS20" s="344">
        <v>8.77</v>
      </c>
      <c r="AZ20" s="151"/>
    </row>
    <row r="21" spans="2:53" ht="25.5" hidden="1" customHeight="1" outlineLevel="1" x14ac:dyDescent="0.25">
      <c r="B21" s="646"/>
      <c r="C21" s="647"/>
      <c r="D21" s="604" t="s">
        <v>137</v>
      </c>
      <c r="E21" s="260"/>
      <c r="F21" s="209">
        <v>8.77</v>
      </c>
      <c r="G21" s="261"/>
      <c r="H21" s="261"/>
      <c r="I21" s="261"/>
      <c r="J21" s="261"/>
      <c r="K21" s="261"/>
      <c r="L21" s="461"/>
      <c r="M21" s="468">
        <v>0</v>
      </c>
      <c r="N21" s="622">
        <v>38</v>
      </c>
      <c r="O21" s="622"/>
      <c r="P21" s="623" cm="1">
        <f t="array" ref="P21">_xlfn.IFS(N21 = 38, (M21/N21)*8.77, N21=52, (M21/N21)*12, N21=14, (M21/N21)*3.23)</f>
        <v>0</v>
      </c>
      <c r="Q21" s="623"/>
      <c r="R21" s="461"/>
      <c r="S21" s="461"/>
      <c r="T21" s="26">
        <f t="shared" si="12"/>
        <v>0</v>
      </c>
      <c r="U21" s="26">
        <f t="shared" si="1"/>
        <v>0</v>
      </c>
      <c r="V21" s="26">
        <f t="shared" si="1"/>
        <v>0</v>
      </c>
      <c r="W21" s="26">
        <f t="shared" si="1"/>
        <v>0</v>
      </c>
      <c r="X21" s="26">
        <f t="shared" si="1"/>
        <v>0</v>
      </c>
      <c r="Y21" s="69">
        <f t="shared" si="6"/>
        <v>0</v>
      </c>
      <c r="Z21" s="563">
        <f t="shared" si="2"/>
        <v>0</v>
      </c>
      <c r="AA21" s="562">
        <f t="shared" si="10"/>
        <v>0</v>
      </c>
      <c r="AB21" s="242">
        <f t="shared" si="3"/>
        <v>0</v>
      </c>
      <c r="AC21" s="242">
        <f t="shared" si="11"/>
        <v>0</v>
      </c>
      <c r="AD21" s="242">
        <f t="shared" si="8"/>
        <v>0</v>
      </c>
      <c r="AE21" s="242">
        <f t="shared" si="9"/>
        <v>0</v>
      </c>
      <c r="AF21" s="243">
        <f t="shared" si="5"/>
        <v>0</v>
      </c>
      <c r="AG21" s="179"/>
      <c r="AH21" s="261"/>
      <c r="AI21" s="261"/>
      <c r="AJ21" s="264"/>
      <c r="AK21" s="264"/>
      <c r="AL21" s="264"/>
      <c r="AM21" s="662"/>
      <c r="AN21" s="662"/>
      <c r="AO21" s="648"/>
      <c r="AP21" s="649"/>
      <c r="AQ21" s="594" t="s">
        <v>137</v>
      </c>
      <c r="AR21" s="342"/>
      <c r="AS21" s="344">
        <v>8.77</v>
      </c>
      <c r="AZ21" s="151"/>
    </row>
    <row r="22" spans="2:53" ht="25.5" hidden="1" customHeight="1" outlineLevel="1" x14ac:dyDescent="0.25">
      <c r="B22" s="646"/>
      <c r="C22" s="647"/>
      <c r="D22" s="604" t="s">
        <v>137</v>
      </c>
      <c r="E22" s="260"/>
      <c r="F22" s="209">
        <v>8.77</v>
      </c>
      <c r="G22" s="261"/>
      <c r="H22" s="261"/>
      <c r="I22" s="261"/>
      <c r="J22" s="261"/>
      <c r="K22" s="261"/>
      <c r="L22" s="461"/>
      <c r="R22" s="461"/>
      <c r="S22" s="461"/>
      <c r="T22" s="26">
        <f t="shared" si="12"/>
        <v>0</v>
      </c>
      <c r="U22" s="26">
        <f t="shared" si="1"/>
        <v>0</v>
      </c>
      <c r="V22" s="26">
        <f t="shared" si="1"/>
        <v>0</v>
      </c>
      <c r="W22" s="26">
        <f t="shared" si="1"/>
        <v>0</v>
      </c>
      <c r="X22" s="26">
        <f t="shared" si="1"/>
        <v>0</v>
      </c>
      <c r="Y22" s="69">
        <f t="shared" si="6"/>
        <v>0</v>
      </c>
      <c r="Z22" s="563">
        <f t="shared" si="2"/>
        <v>0</v>
      </c>
      <c r="AA22" s="562">
        <f t="shared" si="10"/>
        <v>0</v>
      </c>
      <c r="AB22" s="242">
        <f t="shared" si="3"/>
        <v>0</v>
      </c>
      <c r="AC22" s="242">
        <f t="shared" si="11"/>
        <v>0</v>
      </c>
      <c r="AD22" s="242">
        <f t="shared" si="8"/>
        <v>0</v>
      </c>
      <c r="AE22" s="242">
        <f t="shared" si="9"/>
        <v>0</v>
      </c>
      <c r="AF22" s="243">
        <f t="shared" si="5"/>
        <v>0</v>
      </c>
      <c r="AG22" s="179"/>
      <c r="AH22" s="261"/>
      <c r="AI22" s="261"/>
      <c r="AJ22" s="264"/>
      <c r="AK22" s="264"/>
      <c r="AL22" s="264"/>
      <c r="AM22" s="662"/>
      <c r="AN22" s="662"/>
      <c r="AO22" s="648"/>
      <c r="AP22" s="649"/>
      <c r="AQ22" s="594" t="s">
        <v>137</v>
      </c>
      <c r="AR22" s="342"/>
      <c r="AS22" s="344">
        <v>8.77</v>
      </c>
      <c r="AZ22" s="151"/>
    </row>
    <row r="23" spans="2:53" ht="25.5" hidden="1" customHeight="1" outlineLevel="1" thickBot="1" x14ac:dyDescent="0.3">
      <c r="B23" s="646"/>
      <c r="C23" s="647"/>
      <c r="D23" s="604" t="s">
        <v>137</v>
      </c>
      <c r="E23" s="260"/>
      <c r="F23" s="209">
        <v>8.77</v>
      </c>
      <c r="G23" s="261"/>
      <c r="H23" s="261"/>
      <c r="I23" s="261"/>
      <c r="J23" s="261"/>
      <c r="K23" s="261"/>
      <c r="L23" s="461"/>
      <c r="M23" s="608" t="s">
        <v>83</v>
      </c>
      <c r="N23" s="608"/>
      <c r="O23" s="608"/>
      <c r="P23" s="608"/>
      <c r="Q23" s="608"/>
      <c r="R23" s="461"/>
      <c r="S23" s="461"/>
      <c r="T23" s="26">
        <f t="shared" si="12"/>
        <v>0</v>
      </c>
      <c r="U23" s="26">
        <f t="shared" si="1"/>
        <v>0</v>
      </c>
      <c r="V23" s="26">
        <f t="shared" si="1"/>
        <v>0</v>
      </c>
      <c r="W23" s="26">
        <f t="shared" si="1"/>
        <v>0</v>
      </c>
      <c r="X23" s="26">
        <f t="shared" si="1"/>
        <v>0</v>
      </c>
      <c r="Y23" s="69">
        <f t="shared" si="6"/>
        <v>0</v>
      </c>
      <c r="Z23" s="563">
        <f t="shared" si="2"/>
        <v>0</v>
      </c>
      <c r="AA23" s="562">
        <f t="shared" si="10"/>
        <v>0</v>
      </c>
      <c r="AB23" s="242">
        <f t="shared" si="3"/>
        <v>0</v>
      </c>
      <c r="AC23" s="242">
        <f t="shared" si="11"/>
        <v>0</v>
      </c>
      <c r="AD23" s="242">
        <f t="shared" si="8"/>
        <v>0</v>
      </c>
      <c r="AE23" s="242">
        <f t="shared" si="9"/>
        <v>0</v>
      </c>
      <c r="AF23" s="243">
        <f t="shared" si="5"/>
        <v>0</v>
      </c>
      <c r="AG23" s="179"/>
      <c r="AH23" s="261"/>
      <c r="AI23" s="261"/>
      <c r="AJ23" s="264"/>
      <c r="AK23" s="264"/>
      <c r="AL23" s="264"/>
      <c r="AM23" s="662"/>
      <c r="AN23" s="662"/>
      <c r="AO23" s="648"/>
      <c r="AP23" s="649"/>
      <c r="AQ23" s="594" t="s">
        <v>137</v>
      </c>
      <c r="AR23" s="342"/>
      <c r="AS23" s="344">
        <v>8.77</v>
      </c>
      <c r="AZ23" s="151"/>
    </row>
    <row r="24" spans="2:53" ht="25.5" hidden="1" customHeight="1" outlineLevel="1" x14ac:dyDescent="0.25">
      <c r="B24" s="646"/>
      <c r="C24" s="647"/>
      <c r="D24" s="604" t="s">
        <v>137</v>
      </c>
      <c r="E24" s="260"/>
      <c r="F24" s="209">
        <v>8.77</v>
      </c>
      <c r="G24" s="261"/>
      <c r="H24" s="261"/>
      <c r="I24" s="261"/>
      <c r="J24" s="261"/>
      <c r="K24" s="261"/>
      <c r="L24" s="461"/>
      <c r="M24" s="466" t="s">
        <v>79</v>
      </c>
      <c r="N24" s="611" t="s">
        <v>84</v>
      </c>
      <c r="O24" s="612"/>
      <c r="P24" s="613" t="s">
        <v>77</v>
      </c>
      <c r="Q24" s="613"/>
      <c r="R24" s="461"/>
      <c r="S24" s="461"/>
      <c r="T24" s="26">
        <f t="shared" si="12"/>
        <v>0</v>
      </c>
      <c r="U24" s="26">
        <f t="shared" si="1"/>
        <v>0</v>
      </c>
      <c r="V24" s="26">
        <f t="shared" si="1"/>
        <v>0</v>
      </c>
      <c r="W24" s="26">
        <f t="shared" si="1"/>
        <v>0</v>
      </c>
      <c r="X24" s="26">
        <f t="shared" si="1"/>
        <v>0</v>
      </c>
      <c r="Y24" s="69">
        <f t="shared" si="6"/>
        <v>0</v>
      </c>
      <c r="Z24" s="563">
        <f t="shared" si="2"/>
        <v>0</v>
      </c>
      <c r="AA24" s="562">
        <f t="shared" si="10"/>
        <v>0</v>
      </c>
      <c r="AB24" s="242">
        <f t="shared" si="3"/>
        <v>0</v>
      </c>
      <c r="AC24" s="242">
        <f t="shared" si="11"/>
        <v>0</v>
      </c>
      <c r="AD24" s="242">
        <f t="shared" si="8"/>
        <v>0</v>
      </c>
      <c r="AE24" s="242">
        <f t="shared" si="9"/>
        <v>0</v>
      </c>
      <c r="AF24" s="243">
        <f t="shared" si="5"/>
        <v>0</v>
      </c>
      <c r="AG24" s="179"/>
      <c r="AH24" s="261"/>
      <c r="AI24" s="261"/>
      <c r="AJ24" s="264"/>
      <c r="AK24" s="264"/>
      <c r="AL24" s="264"/>
      <c r="AM24" s="662"/>
      <c r="AN24" s="662"/>
      <c r="AO24" s="648"/>
      <c r="AP24" s="649"/>
      <c r="AQ24" s="594" t="s">
        <v>137</v>
      </c>
      <c r="AR24" s="342"/>
      <c r="AS24" s="344">
        <v>8.77</v>
      </c>
      <c r="AZ24" s="151"/>
    </row>
    <row r="25" spans="2:53" ht="25.5" hidden="1" customHeight="1" outlineLevel="1" x14ac:dyDescent="0.25">
      <c r="B25" s="646"/>
      <c r="C25" s="647"/>
      <c r="D25" s="604" t="s">
        <v>137</v>
      </c>
      <c r="E25" s="260"/>
      <c r="F25" s="209">
        <v>8.77</v>
      </c>
      <c r="G25" s="261"/>
      <c r="H25" s="261"/>
      <c r="I25" s="261"/>
      <c r="J25" s="261"/>
      <c r="K25" s="261"/>
      <c r="L25" s="461"/>
      <c r="M25" s="469">
        <v>0</v>
      </c>
      <c r="N25" s="614">
        <v>190</v>
      </c>
      <c r="O25" s="614"/>
      <c r="P25" s="615" cm="1">
        <f t="array" ref="P25">_xlfn.IFS(N25 = 190, (M25/N25)*8.77, N25=260, (M25/N25)*12, N25=70, (M25/N25)*3.23)</f>
        <v>0</v>
      </c>
      <c r="Q25" s="615"/>
      <c r="R25" s="461"/>
      <c r="S25" s="461"/>
      <c r="T25" s="26">
        <f t="shared" si="12"/>
        <v>0</v>
      </c>
      <c r="U25" s="26">
        <f t="shared" si="1"/>
        <v>0</v>
      </c>
      <c r="V25" s="26">
        <f t="shared" si="1"/>
        <v>0</v>
      </c>
      <c r="W25" s="26">
        <f t="shared" si="1"/>
        <v>0</v>
      </c>
      <c r="X25" s="26">
        <f t="shared" si="1"/>
        <v>0</v>
      </c>
      <c r="Y25" s="69">
        <f t="shared" si="6"/>
        <v>0</v>
      </c>
      <c r="Z25" s="563">
        <f t="shared" si="2"/>
        <v>0</v>
      </c>
      <c r="AA25" s="562">
        <f t="shared" si="10"/>
        <v>0</v>
      </c>
      <c r="AB25" s="242">
        <f t="shared" si="3"/>
        <v>0</v>
      </c>
      <c r="AC25" s="242">
        <f t="shared" si="11"/>
        <v>0</v>
      </c>
      <c r="AD25" s="242">
        <f t="shared" si="8"/>
        <v>0</v>
      </c>
      <c r="AE25" s="242">
        <f t="shared" si="9"/>
        <v>0</v>
      </c>
      <c r="AF25" s="243">
        <f t="shared" si="5"/>
        <v>0</v>
      </c>
      <c r="AG25" s="179"/>
      <c r="AH25" s="261"/>
      <c r="AI25" s="261"/>
      <c r="AJ25" s="264"/>
      <c r="AK25" s="264"/>
      <c r="AL25" s="264"/>
      <c r="AM25" s="662"/>
      <c r="AN25" s="662"/>
      <c r="AO25" s="648"/>
      <c r="AP25" s="649"/>
      <c r="AQ25" s="594" t="s">
        <v>137</v>
      </c>
      <c r="AR25" s="342"/>
      <c r="AS25" s="344">
        <v>8.77</v>
      </c>
      <c r="AZ25" s="151"/>
    </row>
    <row r="26" spans="2:53" ht="25.5" hidden="1" customHeight="1" outlineLevel="1" x14ac:dyDescent="0.25">
      <c r="B26" s="646"/>
      <c r="C26" s="647"/>
      <c r="D26" s="604" t="s">
        <v>137</v>
      </c>
      <c r="E26" s="260"/>
      <c r="F26" s="209">
        <v>8.77</v>
      </c>
      <c r="G26" s="261"/>
      <c r="H26" s="261"/>
      <c r="I26" s="261"/>
      <c r="J26" s="261"/>
      <c r="K26" s="261"/>
      <c r="L26" s="461"/>
      <c r="M26" s="461"/>
      <c r="N26" s="461"/>
      <c r="O26" s="461"/>
      <c r="P26" s="461"/>
      <c r="Q26" s="461"/>
      <c r="R26" s="461"/>
      <c r="S26" s="461"/>
      <c r="T26" s="26">
        <f t="shared" si="12"/>
        <v>0</v>
      </c>
      <c r="U26" s="26">
        <f t="shared" si="1"/>
        <v>0</v>
      </c>
      <c r="V26" s="26">
        <f t="shared" si="1"/>
        <v>0</v>
      </c>
      <c r="W26" s="26">
        <f t="shared" si="1"/>
        <v>0</v>
      </c>
      <c r="X26" s="26">
        <f t="shared" si="1"/>
        <v>0</v>
      </c>
      <c r="Y26" s="69">
        <f t="shared" si="6"/>
        <v>0</v>
      </c>
      <c r="Z26" s="563">
        <f t="shared" si="2"/>
        <v>0</v>
      </c>
      <c r="AA26" s="562">
        <f t="shared" si="10"/>
        <v>0</v>
      </c>
      <c r="AB26" s="242">
        <f t="shared" si="3"/>
        <v>0</v>
      </c>
      <c r="AC26" s="242">
        <f t="shared" si="11"/>
        <v>0</v>
      </c>
      <c r="AD26" s="242">
        <f t="shared" si="8"/>
        <v>0</v>
      </c>
      <c r="AE26" s="242">
        <f t="shared" si="9"/>
        <v>0</v>
      </c>
      <c r="AF26" s="243">
        <f t="shared" si="5"/>
        <v>0</v>
      </c>
      <c r="AG26" s="179"/>
      <c r="AH26" s="261"/>
      <c r="AI26" s="261"/>
      <c r="AJ26" s="264"/>
      <c r="AK26" s="264"/>
      <c r="AL26" s="264"/>
      <c r="AM26" s="662"/>
      <c r="AN26" s="662"/>
      <c r="AO26" s="648"/>
      <c r="AP26" s="649"/>
      <c r="AQ26" s="594" t="s">
        <v>137</v>
      </c>
      <c r="AR26" s="342"/>
      <c r="AS26" s="344">
        <v>8.77</v>
      </c>
      <c r="AZ26" s="151"/>
    </row>
    <row r="27" spans="2:53" ht="25.5" hidden="1" customHeight="1" outlineLevel="1" thickBot="1" x14ac:dyDescent="0.3">
      <c r="B27" s="799"/>
      <c r="C27" s="799"/>
      <c r="D27" s="604" t="s">
        <v>137</v>
      </c>
      <c r="E27" s="260"/>
      <c r="F27" s="209">
        <v>8.77</v>
      </c>
      <c r="G27" s="261"/>
      <c r="H27" s="261"/>
      <c r="I27" s="261"/>
      <c r="J27" s="261"/>
      <c r="K27" s="261"/>
      <c r="L27" s="461"/>
      <c r="M27" s="608" t="s">
        <v>85</v>
      </c>
      <c r="N27" s="608"/>
      <c r="O27" s="608"/>
      <c r="P27" s="608"/>
      <c r="Q27" s="608"/>
      <c r="R27" s="461"/>
      <c r="S27" s="461"/>
      <c r="T27" s="26">
        <f t="shared" si="12"/>
        <v>0</v>
      </c>
      <c r="U27" s="26">
        <f t="shared" si="1"/>
        <v>0</v>
      </c>
      <c r="V27" s="26">
        <f t="shared" si="1"/>
        <v>0</v>
      </c>
      <c r="W27" s="26">
        <f t="shared" si="1"/>
        <v>0</v>
      </c>
      <c r="X27" s="26">
        <f t="shared" si="1"/>
        <v>0</v>
      </c>
      <c r="Y27" s="69">
        <f t="shared" si="6"/>
        <v>0</v>
      </c>
      <c r="Z27" s="563">
        <f t="shared" si="2"/>
        <v>0</v>
      </c>
      <c r="AA27" s="562">
        <f t="shared" si="7"/>
        <v>0</v>
      </c>
      <c r="AB27" s="242">
        <f t="shared" si="3"/>
        <v>0</v>
      </c>
      <c r="AC27" s="242">
        <f>ROUND($AR27*1.03^I$2/$AS27*AJ27,0)</f>
        <v>0</v>
      </c>
      <c r="AD27" s="242">
        <f>ROUND($AR27*1.03^J$2/$AS27*AK27,0)</f>
        <v>0</v>
      </c>
      <c r="AE27" s="242">
        <f t="shared" si="9"/>
        <v>0</v>
      </c>
      <c r="AF27" s="243">
        <f t="shared" si="5"/>
        <v>0</v>
      </c>
      <c r="AG27" s="179"/>
      <c r="AH27" s="261"/>
      <c r="AI27" s="261"/>
      <c r="AJ27" s="264"/>
      <c r="AK27" s="264"/>
      <c r="AL27" s="264"/>
      <c r="AM27" s="662"/>
      <c r="AN27" s="662"/>
      <c r="AO27" s="648"/>
      <c r="AP27" s="649"/>
      <c r="AQ27" s="594" t="s">
        <v>137</v>
      </c>
      <c r="AR27" s="343"/>
      <c r="AS27" s="344">
        <v>8.77</v>
      </c>
      <c r="AZ27" s="151"/>
    </row>
    <row r="28" spans="2:53" ht="25.5" hidden="1" customHeight="1" outlineLevel="1" x14ac:dyDescent="0.25">
      <c r="B28" s="799"/>
      <c r="C28" s="799"/>
      <c r="D28" s="604" t="s">
        <v>137</v>
      </c>
      <c r="E28" s="260"/>
      <c r="F28" s="209">
        <v>8.77</v>
      </c>
      <c r="G28" s="261"/>
      <c r="H28" s="261"/>
      <c r="I28" s="261"/>
      <c r="J28" s="261"/>
      <c r="K28" s="261"/>
      <c r="L28" s="461"/>
      <c r="M28" s="470" t="s">
        <v>75</v>
      </c>
      <c r="N28" s="470" t="s">
        <v>86</v>
      </c>
      <c r="O28" s="609" t="s">
        <v>138</v>
      </c>
      <c r="P28" s="609"/>
      <c r="Q28" s="470" t="s">
        <v>139</v>
      </c>
      <c r="R28" s="461"/>
      <c r="S28" s="461"/>
      <c r="T28" s="26">
        <f t="shared" si="12"/>
        <v>0</v>
      </c>
      <c r="U28" s="241">
        <f t="shared" si="1"/>
        <v>0</v>
      </c>
      <c r="V28" s="326">
        <f t="shared" si="1"/>
        <v>0</v>
      </c>
      <c r="W28" s="302">
        <f t="shared" si="1"/>
        <v>0</v>
      </c>
      <c r="X28" s="325">
        <f t="shared" si="1"/>
        <v>0</v>
      </c>
      <c r="Y28" s="69">
        <f t="shared" si="6"/>
        <v>0</v>
      </c>
      <c r="Z28" s="563">
        <f t="shared" si="2"/>
        <v>0</v>
      </c>
      <c r="AA28" s="562">
        <f>ROUND($AR28/AS28*AH28,0)</f>
        <v>0</v>
      </c>
      <c r="AB28" s="242">
        <f t="shared" si="3"/>
        <v>0</v>
      </c>
      <c r="AC28" s="242">
        <f>ROUND($AR28*1.03^I$2/$AS28*AJ28,0)</f>
        <v>0</v>
      </c>
      <c r="AD28" s="242">
        <f t="shared" si="8"/>
        <v>0</v>
      </c>
      <c r="AE28" s="242">
        <f>ROUND($AR28*1.03^K$2/$AS28*AL28,0)</f>
        <v>0</v>
      </c>
      <c r="AF28" s="243">
        <f t="shared" si="5"/>
        <v>0</v>
      </c>
      <c r="AG28" s="179"/>
      <c r="AH28" s="261"/>
      <c r="AI28" s="261"/>
      <c r="AJ28" s="264"/>
      <c r="AK28" s="264"/>
      <c r="AL28" s="264"/>
      <c r="AM28" s="662"/>
      <c r="AN28" s="662"/>
      <c r="AO28" s="650"/>
      <c r="AP28" s="651"/>
      <c r="AQ28" s="594" t="s">
        <v>137</v>
      </c>
      <c r="AR28" s="343"/>
      <c r="AS28" s="344">
        <v>8.77</v>
      </c>
      <c r="AZ28" s="151"/>
    </row>
    <row r="29" spans="2:53" ht="25.5" hidden="1" customHeight="1" outlineLevel="1" x14ac:dyDescent="0.25">
      <c r="B29" s="799"/>
      <c r="C29" s="799"/>
      <c r="D29" s="604" t="s">
        <v>137</v>
      </c>
      <c r="E29" s="260"/>
      <c r="F29" s="209">
        <v>8.77</v>
      </c>
      <c r="G29" s="261"/>
      <c r="H29" s="261"/>
      <c r="I29" s="261"/>
      <c r="J29" s="261"/>
      <c r="K29" s="261"/>
      <c r="L29" s="461"/>
      <c r="M29" s="475">
        <v>0</v>
      </c>
      <c r="N29" s="476">
        <v>0</v>
      </c>
      <c r="O29" s="610">
        <v>8.77</v>
      </c>
      <c r="P29" s="610"/>
      <c r="Q29" s="471">
        <f>O29*N29*M29</f>
        <v>0</v>
      </c>
      <c r="R29" s="461"/>
      <c r="S29" s="461"/>
      <c r="T29" s="327">
        <f t="shared" si="12"/>
        <v>0</v>
      </c>
      <c r="U29" s="327">
        <f t="shared" si="1"/>
        <v>0</v>
      </c>
      <c r="V29" s="326">
        <f t="shared" si="1"/>
        <v>0</v>
      </c>
      <c r="W29" s="302">
        <f t="shared" si="1"/>
        <v>0</v>
      </c>
      <c r="X29" s="328">
        <f t="shared" si="1"/>
        <v>0</v>
      </c>
      <c r="Y29" s="69">
        <f t="shared" si="6"/>
        <v>0</v>
      </c>
      <c r="Z29" s="563">
        <f t="shared" si="2"/>
        <v>0</v>
      </c>
      <c r="AA29" s="562">
        <f t="shared" si="7"/>
        <v>0</v>
      </c>
      <c r="AB29" s="242">
        <f t="shared" si="3"/>
        <v>0</v>
      </c>
      <c r="AC29" s="242">
        <f>ROUND($AR29*1.03^I$2/$AS29*AJ29,0)</f>
        <v>0</v>
      </c>
      <c r="AD29" s="242">
        <f t="shared" si="8"/>
        <v>0</v>
      </c>
      <c r="AE29" s="242">
        <f>ROUND($AR29*1.03^K$2/$AS29*AL29,0)</f>
        <v>0</v>
      </c>
      <c r="AF29" s="243">
        <f t="shared" si="5"/>
        <v>0</v>
      </c>
      <c r="AG29" s="179"/>
      <c r="AH29" s="261"/>
      <c r="AI29" s="261"/>
      <c r="AJ29" s="264"/>
      <c r="AK29" s="264"/>
      <c r="AL29" s="264"/>
      <c r="AM29" s="662"/>
      <c r="AN29" s="662"/>
      <c r="AO29" s="650"/>
      <c r="AP29" s="651"/>
      <c r="AQ29" s="594" t="s">
        <v>137</v>
      </c>
      <c r="AR29" s="342"/>
      <c r="AS29" s="344">
        <v>8.77</v>
      </c>
      <c r="AZ29" s="204"/>
    </row>
    <row r="30" spans="2:53" ht="34.5" customHeight="1" collapsed="1" x14ac:dyDescent="0.25">
      <c r="B30" s="796" t="s">
        <v>140</v>
      </c>
      <c r="C30" s="796"/>
      <c r="D30" s="796"/>
      <c r="E30" s="796"/>
      <c r="F30" s="796"/>
      <c r="G30" s="796"/>
      <c r="H30" s="796"/>
      <c r="I30" s="796"/>
      <c r="J30" s="796"/>
      <c r="K30" s="796"/>
      <c r="L30" s="796"/>
      <c r="M30" s="796"/>
      <c r="N30" s="796"/>
      <c r="O30" s="796"/>
      <c r="P30" s="796"/>
      <c r="Q30" s="796"/>
      <c r="R30" s="796"/>
      <c r="S30" s="796"/>
      <c r="T30" s="479">
        <f t="shared" ref="T30:Y30" si="13">ROUND(SUM(T11:T29),0)</f>
        <v>0</v>
      </c>
      <c r="U30" s="479">
        <f t="shared" si="13"/>
        <v>0</v>
      </c>
      <c r="V30" s="479">
        <f t="shared" si="13"/>
        <v>0</v>
      </c>
      <c r="W30" s="479">
        <f t="shared" si="13"/>
        <v>0</v>
      </c>
      <c r="X30" s="479">
        <f t="shared" si="13"/>
        <v>0</v>
      </c>
      <c r="Y30" s="565">
        <f t="shared" si="13"/>
        <v>0</v>
      </c>
      <c r="Z30" s="561">
        <f>SrSalaryToT+$AF30</f>
        <v>0</v>
      </c>
      <c r="AA30" s="439">
        <f t="shared" ref="AA30:AE30" si="14">SUM(AA11:AA29)</f>
        <v>0</v>
      </c>
      <c r="AB30" s="440">
        <f t="shared" si="14"/>
        <v>0</v>
      </c>
      <c r="AC30" s="440">
        <f t="shared" si="14"/>
        <v>0</v>
      </c>
      <c r="AD30" s="440">
        <f t="shared" si="14"/>
        <v>0</v>
      </c>
      <c r="AE30" s="440">
        <f t="shared" si="14"/>
        <v>0</v>
      </c>
      <c r="AF30" s="439">
        <f>SUM(AF11:AF29)</f>
        <v>0</v>
      </c>
      <c r="AG30" s="413"/>
      <c r="AH30" s="822" t="s">
        <v>141</v>
      </c>
      <c r="AI30" s="822"/>
      <c r="AJ30" s="822"/>
      <c r="AK30" s="822"/>
      <c r="AL30" s="822"/>
      <c r="AM30" s="822"/>
      <c r="AN30" s="822"/>
      <c r="AO30" s="822"/>
      <c r="AP30" s="822"/>
      <c r="AQ30" s="822"/>
      <c r="AR30" s="822"/>
      <c r="AS30" s="822"/>
      <c r="AT30" s="822"/>
      <c r="AU30" s="822"/>
      <c r="AV30" s="822"/>
      <c r="AW30" s="822"/>
      <c r="AX30" s="822"/>
      <c r="AY30" s="822"/>
      <c r="AZ30" s="823"/>
      <c r="BA30" s="28"/>
    </row>
    <row r="31" spans="2:53" ht="52.5" customHeight="1" thickBot="1" x14ac:dyDescent="0.35">
      <c r="B31" s="721" t="s">
        <v>142</v>
      </c>
      <c r="C31" s="721"/>
      <c r="D31" s="721"/>
      <c r="E31" s="721"/>
      <c r="F31" s="721"/>
      <c r="G31" s="721"/>
      <c r="H31" s="721"/>
      <c r="I31" s="721"/>
      <c r="J31" s="228"/>
      <c r="K31" s="228"/>
      <c r="L31" s="229"/>
      <c r="M31" s="229"/>
      <c r="N31" s="229"/>
      <c r="O31" s="229"/>
      <c r="P31" s="229"/>
      <c r="Q31" s="229"/>
      <c r="R31" s="229"/>
      <c r="S31" s="229"/>
      <c r="T31" s="789" t="s">
        <v>117</v>
      </c>
      <c r="U31" s="789"/>
      <c r="V31" s="789"/>
      <c r="W31" s="789"/>
      <c r="X31" s="789"/>
      <c r="Y31" s="790"/>
      <c r="Z31" s="560"/>
      <c r="AA31" s="652" t="s">
        <v>143</v>
      </c>
      <c r="AB31" s="652"/>
      <c r="AC31" s="652"/>
      <c r="AD31" s="652"/>
      <c r="AE31" s="652"/>
      <c r="AF31" s="652"/>
      <c r="AG31" s="652"/>
      <c r="AH31" s="652"/>
      <c r="AI31" s="652"/>
      <c r="AJ31" s="652"/>
      <c r="AK31" s="652"/>
      <c r="AL31" s="652"/>
      <c r="AM31" s="652"/>
      <c r="AN31" s="652"/>
      <c r="AO31" s="652"/>
      <c r="AP31" s="652"/>
      <c r="AQ31" s="652"/>
      <c r="AR31" s="652"/>
      <c r="AS31" s="652"/>
      <c r="AT31" s="652"/>
      <c r="AU31" s="652"/>
      <c r="AV31" s="652"/>
      <c r="AW31" s="652"/>
      <c r="AX31" s="652"/>
      <c r="AY31" s="652"/>
      <c r="AZ31" s="652"/>
    </row>
    <row r="32" spans="2:53" ht="46.5" customHeight="1" thickTop="1" x14ac:dyDescent="0.25">
      <c r="B32" s="58" t="s">
        <v>144</v>
      </c>
      <c r="C32" s="53" t="s">
        <v>145</v>
      </c>
      <c r="D32" s="59" t="s">
        <v>146</v>
      </c>
      <c r="E32" s="59" t="s">
        <v>147</v>
      </c>
      <c r="F32" s="59" t="s">
        <v>148</v>
      </c>
      <c r="G32" s="59" t="s">
        <v>149</v>
      </c>
      <c r="H32" s="59" t="s">
        <v>150</v>
      </c>
      <c r="I32" s="59" t="s">
        <v>151</v>
      </c>
      <c r="J32" s="59" t="s">
        <v>152</v>
      </c>
      <c r="K32" s="59" t="s">
        <v>153</v>
      </c>
      <c r="L32" s="791"/>
      <c r="M32" s="791"/>
      <c r="N32" s="791"/>
      <c r="O32" s="791"/>
      <c r="P32" s="791"/>
      <c r="Q32" s="791"/>
      <c r="R32" s="791"/>
      <c r="S32" s="791"/>
      <c r="T32" s="52" t="s">
        <v>128</v>
      </c>
      <c r="U32" s="52" t="s">
        <v>129</v>
      </c>
      <c r="V32" s="52" t="s">
        <v>130</v>
      </c>
      <c r="W32" s="52" t="s">
        <v>131</v>
      </c>
      <c r="X32" s="52" t="s">
        <v>132</v>
      </c>
      <c r="Y32" s="564" t="s">
        <v>112</v>
      </c>
      <c r="Z32" s="561"/>
      <c r="AA32" s="55" t="s">
        <v>128</v>
      </c>
      <c r="AB32" s="55" t="s">
        <v>129</v>
      </c>
      <c r="AC32" s="55" t="s">
        <v>130</v>
      </c>
      <c r="AD32" s="55" t="s">
        <v>131</v>
      </c>
      <c r="AE32" s="55" t="s">
        <v>132</v>
      </c>
      <c r="AF32" s="378" t="s">
        <v>133</v>
      </c>
      <c r="AG32" s="176"/>
      <c r="AH32" s="59" t="s">
        <v>122</v>
      </c>
      <c r="AI32" s="59" t="s">
        <v>123</v>
      </c>
      <c r="AJ32" s="59" t="s">
        <v>124</v>
      </c>
      <c r="AK32" s="59" t="s">
        <v>125</v>
      </c>
      <c r="AL32" s="59" t="s">
        <v>126</v>
      </c>
      <c r="AM32" s="661" t="s">
        <v>134</v>
      </c>
      <c r="AN32" s="661"/>
      <c r="AO32" s="58" t="s">
        <v>144</v>
      </c>
      <c r="AP32" s="53" t="s">
        <v>145</v>
      </c>
      <c r="AQ32" s="59" t="s">
        <v>146</v>
      </c>
      <c r="AR32" s="59" t="s">
        <v>147</v>
      </c>
      <c r="AS32" s="59" t="s">
        <v>148</v>
      </c>
      <c r="AT32"/>
      <c r="AU32"/>
      <c r="AZ32" s="203"/>
    </row>
    <row r="33" spans="2:52" ht="25.5" customHeight="1" x14ac:dyDescent="0.25">
      <c r="B33" s="265"/>
      <c r="C33" s="595" t="s">
        <v>154</v>
      </c>
      <c r="D33" s="265"/>
      <c r="E33" s="267"/>
      <c r="F33" s="29">
        <f t="shared" ref="F33:F52" si="15">(D33*E33)*4.333</f>
        <v>0</v>
      </c>
      <c r="G33" s="268"/>
      <c r="H33" s="268"/>
      <c r="I33" s="268"/>
      <c r="J33" s="268"/>
      <c r="K33" s="268"/>
      <c r="L33" s="792"/>
      <c r="M33" s="792"/>
      <c r="N33" s="792"/>
      <c r="O33" s="792"/>
      <c r="P33" s="792"/>
      <c r="Q33" s="792"/>
      <c r="R33" s="792"/>
      <c r="S33" s="792"/>
      <c r="T33" s="26">
        <f t="shared" ref="T33:T52" si="16">ROUND($F33*$B33*G33,0)</f>
        <v>0</v>
      </c>
      <c r="U33" s="26">
        <f t="shared" ref="U33:X52" si="17">ROUND($F33*1.03^H$2*$B33*H33,0)</f>
        <v>0</v>
      </c>
      <c r="V33" s="26">
        <f t="shared" si="17"/>
        <v>0</v>
      </c>
      <c r="W33" s="26">
        <f t="shared" si="17"/>
        <v>0</v>
      </c>
      <c r="X33" s="26">
        <f t="shared" si="17"/>
        <v>0</v>
      </c>
      <c r="Y33" s="69">
        <f>ROUND(SUM(T33:X33),0)</f>
        <v>0</v>
      </c>
      <c r="Z33" s="567">
        <f t="shared" ref="Z33:Z52" si="18">Y33+AF33</f>
        <v>0</v>
      </c>
      <c r="AA33" s="566">
        <f>ROUND($AS33*$AO33*AH33,0)</f>
        <v>0</v>
      </c>
      <c r="AB33" s="244">
        <f>ROUND($AS33*1.03^H$2*$AO33*AI33,0)</f>
        <v>0</v>
      </c>
      <c r="AC33" s="244">
        <f>ROUND($AS33*1.03^I$2*$AO33*AJ33,0)</f>
        <v>0</v>
      </c>
      <c r="AD33" s="244">
        <f>ROUND($AS33*1.03^J$2*$AO33*AK33,0)</f>
        <v>0</v>
      </c>
      <c r="AE33" s="244">
        <f>ROUND($AS33*1.03^K$2*$AO33*AL33,0)</f>
        <v>0</v>
      </c>
      <c r="AF33" s="245">
        <f t="shared" ref="AF33:AF52" si="19">SUM(AA33:AE33)</f>
        <v>0</v>
      </c>
      <c r="AG33" s="140"/>
      <c r="AH33" s="268"/>
      <c r="AI33" s="268"/>
      <c r="AJ33" s="268"/>
      <c r="AK33" s="268"/>
      <c r="AL33" s="268"/>
      <c r="AM33" s="662"/>
      <c r="AN33" s="662"/>
      <c r="AO33" s="265"/>
      <c r="AP33" s="595" t="s">
        <v>154</v>
      </c>
      <c r="AQ33" s="265"/>
      <c r="AR33" s="267"/>
      <c r="AS33" s="29">
        <f t="shared" ref="AS33:AS52" si="20">(AQ33*AR33)*4.333</f>
        <v>0</v>
      </c>
      <c r="AT33"/>
      <c r="AU33"/>
      <c r="AZ33" s="151"/>
    </row>
    <row r="34" spans="2:52" ht="25.5" customHeight="1" x14ac:dyDescent="0.25">
      <c r="B34" s="265"/>
      <c r="C34" s="595" t="s">
        <v>155</v>
      </c>
      <c r="D34" s="265"/>
      <c r="E34" s="267"/>
      <c r="F34" s="29">
        <f t="shared" si="15"/>
        <v>0</v>
      </c>
      <c r="G34" s="268"/>
      <c r="H34" s="268"/>
      <c r="I34" s="268"/>
      <c r="J34" s="268"/>
      <c r="K34" s="268"/>
      <c r="L34" s="792"/>
      <c r="M34" s="792"/>
      <c r="N34" s="792"/>
      <c r="O34" s="792"/>
      <c r="P34" s="792"/>
      <c r="Q34" s="792"/>
      <c r="R34" s="792"/>
      <c r="S34" s="792"/>
      <c r="T34" s="26">
        <f t="shared" si="16"/>
        <v>0</v>
      </c>
      <c r="U34" s="26">
        <f t="shared" si="17"/>
        <v>0</v>
      </c>
      <c r="V34" s="26">
        <f t="shared" si="17"/>
        <v>0</v>
      </c>
      <c r="W34" s="26">
        <f t="shared" si="17"/>
        <v>0</v>
      </c>
      <c r="X34" s="26">
        <f t="shared" si="17"/>
        <v>0</v>
      </c>
      <c r="Y34" s="69">
        <f t="shared" ref="Y34:Y52" si="21">ROUND(SUM(T34:X34),0)</f>
        <v>0</v>
      </c>
      <c r="Z34" s="567">
        <f t="shared" si="18"/>
        <v>0</v>
      </c>
      <c r="AA34" s="566">
        <f t="shared" ref="AA34:AA45" si="22">ROUND($AS34*$AO34*AH34,0)</f>
        <v>0</v>
      </c>
      <c r="AB34" s="244">
        <f t="shared" ref="AB34:AB45" si="23">ROUND($AS34*1.03^H$2*$AO34*AI34,0)</f>
        <v>0</v>
      </c>
      <c r="AC34" s="244">
        <f t="shared" ref="AC34:AC45" si="24">ROUND($AS34*1.03^I$2*$AO34*AJ34,0)</f>
        <v>0</v>
      </c>
      <c r="AD34" s="244">
        <f t="shared" ref="AD34:AD45" si="25">ROUND($AS34*1.03^J$2*$AO34*AK34,0)</f>
        <v>0</v>
      </c>
      <c r="AE34" s="244">
        <f t="shared" ref="AE34:AE45" si="26">ROUND($AS34*1.03^K$2*$AO34*AL34,0)</f>
        <v>0</v>
      </c>
      <c r="AF34" s="245">
        <f t="shared" si="19"/>
        <v>0</v>
      </c>
      <c r="AG34" s="140"/>
      <c r="AH34" s="268"/>
      <c r="AI34" s="268"/>
      <c r="AJ34" s="268"/>
      <c r="AK34" s="268"/>
      <c r="AL34" s="268"/>
      <c r="AM34" s="662"/>
      <c r="AN34" s="662"/>
      <c r="AO34" s="265"/>
      <c r="AP34" s="595" t="s">
        <v>155</v>
      </c>
      <c r="AQ34" s="265"/>
      <c r="AR34" s="267"/>
      <c r="AS34" s="29">
        <f t="shared" si="20"/>
        <v>0</v>
      </c>
      <c r="AT34"/>
      <c r="AU34"/>
      <c r="AZ34" s="151"/>
    </row>
    <row r="35" spans="2:52" ht="25.5" customHeight="1" x14ac:dyDescent="0.25">
      <c r="B35" s="265"/>
      <c r="C35" s="595" t="s">
        <v>156</v>
      </c>
      <c r="D35" s="265"/>
      <c r="E35" s="267"/>
      <c r="F35" s="29">
        <f t="shared" si="15"/>
        <v>0</v>
      </c>
      <c r="G35" s="268"/>
      <c r="H35" s="268"/>
      <c r="I35" s="268"/>
      <c r="J35" s="268"/>
      <c r="K35" s="268"/>
      <c r="L35" s="792"/>
      <c r="M35" s="792"/>
      <c r="N35" s="792"/>
      <c r="O35" s="792"/>
      <c r="P35" s="792"/>
      <c r="Q35" s="792"/>
      <c r="R35" s="792"/>
      <c r="S35" s="792"/>
      <c r="T35" s="26">
        <f>ROUND($F35*$B35*G35,0)</f>
        <v>0</v>
      </c>
      <c r="U35" s="26">
        <f t="shared" si="17"/>
        <v>0</v>
      </c>
      <c r="V35" s="26">
        <f t="shared" si="17"/>
        <v>0</v>
      </c>
      <c r="W35" s="26">
        <f t="shared" si="17"/>
        <v>0</v>
      </c>
      <c r="X35" s="26">
        <f t="shared" si="17"/>
        <v>0</v>
      </c>
      <c r="Y35" s="69">
        <f t="shared" si="21"/>
        <v>0</v>
      </c>
      <c r="Z35" s="567">
        <f t="shared" si="18"/>
        <v>0</v>
      </c>
      <c r="AA35" s="566">
        <f t="shared" si="22"/>
        <v>0</v>
      </c>
      <c r="AB35" s="244">
        <f t="shared" si="23"/>
        <v>0</v>
      </c>
      <c r="AC35" s="244">
        <f t="shared" si="24"/>
        <v>0</v>
      </c>
      <c r="AD35" s="244">
        <f t="shared" si="25"/>
        <v>0</v>
      </c>
      <c r="AE35" s="244">
        <f t="shared" si="26"/>
        <v>0</v>
      </c>
      <c r="AF35" s="245">
        <f t="shared" si="19"/>
        <v>0</v>
      </c>
      <c r="AG35" s="140"/>
      <c r="AH35" s="268"/>
      <c r="AI35" s="268"/>
      <c r="AJ35" s="268"/>
      <c r="AK35" s="268"/>
      <c r="AL35" s="268"/>
      <c r="AM35" s="662"/>
      <c r="AN35" s="662"/>
      <c r="AO35" s="265"/>
      <c r="AP35" s="595" t="s">
        <v>156</v>
      </c>
      <c r="AQ35" s="265"/>
      <c r="AR35" s="267"/>
      <c r="AS35" s="29">
        <f t="shared" si="20"/>
        <v>0</v>
      </c>
      <c r="AT35"/>
      <c r="AU35"/>
      <c r="AZ35" s="151"/>
    </row>
    <row r="36" spans="2:52" ht="25.5" customHeight="1" x14ac:dyDescent="0.25">
      <c r="B36" s="265"/>
      <c r="C36" s="595" t="s">
        <v>157</v>
      </c>
      <c r="D36" s="265"/>
      <c r="E36" s="267"/>
      <c r="F36" s="29">
        <f t="shared" si="15"/>
        <v>0</v>
      </c>
      <c r="G36" s="268"/>
      <c r="H36" s="268"/>
      <c r="I36" s="268"/>
      <c r="J36" s="268"/>
      <c r="K36" s="268"/>
      <c r="L36" s="792"/>
      <c r="M36" s="792"/>
      <c r="N36" s="792"/>
      <c r="O36" s="792"/>
      <c r="P36" s="792"/>
      <c r="Q36" s="792"/>
      <c r="R36" s="792"/>
      <c r="S36" s="792"/>
      <c r="T36" s="26">
        <f t="shared" si="16"/>
        <v>0</v>
      </c>
      <c r="U36" s="26">
        <f t="shared" si="17"/>
        <v>0</v>
      </c>
      <c r="V36" s="26">
        <f t="shared" si="17"/>
        <v>0</v>
      </c>
      <c r="W36" s="26">
        <f t="shared" si="17"/>
        <v>0</v>
      </c>
      <c r="X36" s="26">
        <f t="shared" si="17"/>
        <v>0</v>
      </c>
      <c r="Y36" s="69">
        <f t="shared" si="21"/>
        <v>0</v>
      </c>
      <c r="Z36" s="567">
        <f t="shared" si="18"/>
        <v>0</v>
      </c>
      <c r="AA36" s="566">
        <f t="shared" si="22"/>
        <v>0</v>
      </c>
      <c r="AB36" s="244">
        <f t="shared" si="23"/>
        <v>0</v>
      </c>
      <c r="AC36" s="244">
        <f t="shared" si="24"/>
        <v>0</v>
      </c>
      <c r="AD36" s="244">
        <f t="shared" si="25"/>
        <v>0</v>
      </c>
      <c r="AE36" s="244">
        <f t="shared" si="26"/>
        <v>0</v>
      </c>
      <c r="AF36" s="245">
        <f t="shared" si="19"/>
        <v>0</v>
      </c>
      <c r="AG36" s="140"/>
      <c r="AH36" s="268"/>
      <c r="AI36" s="268"/>
      <c r="AJ36" s="268"/>
      <c r="AK36" s="268"/>
      <c r="AL36" s="268"/>
      <c r="AM36" s="662"/>
      <c r="AN36" s="662"/>
      <c r="AO36" s="265"/>
      <c r="AP36" s="595" t="s">
        <v>157</v>
      </c>
      <c r="AQ36" s="265"/>
      <c r="AR36" s="267"/>
      <c r="AS36" s="29">
        <f t="shared" si="20"/>
        <v>0</v>
      </c>
      <c r="AT36"/>
      <c r="AU36"/>
      <c r="AZ36" s="151"/>
    </row>
    <row r="37" spans="2:52" ht="25.5" customHeight="1" x14ac:dyDescent="0.25">
      <c r="B37" s="265"/>
      <c r="C37" s="595" t="s">
        <v>158</v>
      </c>
      <c r="D37" s="265"/>
      <c r="E37" s="267"/>
      <c r="F37" s="29">
        <f t="shared" si="15"/>
        <v>0</v>
      </c>
      <c r="G37" s="268"/>
      <c r="H37" s="268"/>
      <c r="I37" s="268"/>
      <c r="J37" s="268"/>
      <c r="K37" s="268"/>
      <c r="L37" s="792"/>
      <c r="M37" s="792"/>
      <c r="N37" s="792"/>
      <c r="O37" s="792"/>
      <c r="P37" s="792"/>
      <c r="Q37" s="792"/>
      <c r="R37" s="792"/>
      <c r="S37" s="792"/>
      <c r="T37" s="26">
        <f t="shared" si="16"/>
        <v>0</v>
      </c>
      <c r="U37" s="26">
        <f t="shared" si="17"/>
        <v>0</v>
      </c>
      <c r="V37" s="26">
        <f t="shared" si="17"/>
        <v>0</v>
      </c>
      <c r="W37" s="26">
        <f t="shared" si="17"/>
        <v>0</v>
      </c>
      <c r="X37" s="26">
        <f t="shared" si="17"/>
        <v>0</v>
      </c>
      <c r="Y37" s="69">
        <f t="shared" si="21"/>
        <v>0</v>
      </c>
      <c r="Z37" s="567">
        <f t="shared" si="18"/>
        <v>0</v>
      </c>
      <c r="AA37" s="566">
        <f t="shared" si="22"/>
        <v>0</v>
      </c>
      <c r="AB37" s="244">
        <f t="shared" si="23"/>
        <v>0</v>
      </c>
      <c r="AC37" s="244">
        <f t="shared" si="24"/>
        <v>0</v>
      </c>
      <c r="AD37" s="244">
        <f t="shared" si="25"/>
        <v>0</v>
      </c>
      <c r="AE37" s="244">
        <f t="shared" si="26"/>
        <v>0</v>
      </c>
      <c r="AF37" s="245">
        <f t="shared" si="19"/>
        <v>0</v>
      </c>
      <c r="AG37" s="140"/>
      <c r="AH37" s="268"/>
      <c r="AI37" s="268"/>
      <c r="AJ37" s="268"/>
      <c r="AK37" s="268"/>
      <c r="AL37" s="268"/>
      <c r="AM37" s="662"/>
      <c r="AN37" s="662"/>
      <c r="AO37" s="265"/>
      <c r="AP37" s="595" t="s">
        <v>158</v>
      </c>
      <c r="AQ37" s="265"/>
      <c r="AR37" s="267"/>
      <c r="AS37" s="29">
        <f t="shared" si="20"/>
        <v>0</v>
      </c>
      <c r="AT37"/>
      <c r="AU37"/>
      <c r="AZ37" s="151"/>
    </row>
    <row r="38" spans="2:52" ht="25.5" customHeight="1" x14ac:dyDescent="0.25">
      <c r="B38" s="265"/>
      <c r="C38" s="595" t="s">
        <v>159</v>
      </c>
      <c r="D38" s="265"/>
      <c r="E38" s="267"/>
      <c r="F38" s="29">
        <f t="shared" si="15"/>
        <v>0</v>
      </c>
      <c r="G38" s="268"/>
      <c r="H38" s="268"/>
      <c r="I38" s="268"/>
      <c r="J38" s="268"/>
      <c r="K38" s="268"/>
      <c r="L38" s="792"/>
      <c r="M38" s="792"/>
      <c r="N38" s="792"/>
      <c r="O38" s="792"/>
      <c r="P38" s="792"/>
      <c r="Q38" s="792"/>
      <c r="R38" s="792"/>
      <c r="S38" s="792"/>
      <c r="T38" s="26">
        <f t="shared" si="16"/>
        <v>0</v>
      </c>
      <c r="U38" s="26">
        <f t="shared" si="17"/>
        <v>0</v>
      </c>
      <c r="V38" s="26">
        <f t="shared" si="17"/>
        <v>0</v>
      </c>
      <c r="W38" s="26">
        <f t="shared" si="17"/>
        <v>0</v>
      </c>
      <c r="X38" s="26">
        <f t="shared" si="17"/>
        <v>0</v>
      </c>
      <c r="Y38" s="69">
        <f t="shared" si="21"/>
        <v>0</v>
      </c>
      <c r="Z38" s="567">
        <f t="shared" si="18"/>
        <v>0</v>
      </c>
      <c r="AA38" s="566">
        <f t="shared" si="22"/>
        <v>0</v>
      </c>
      <c r="AB38" s="244">
        <f t="shared" si="23"/>
        <v>0</v>
      </c>
      <c r="AC38" s="244">
        <f t="shared" si="24"/>
        <v>0</v>
      </c>
      <c r="AD38" s="244">
        <f t="shared" si="25"/>
        <v>0</v>
      </c>
      <c r="AE38" s="244">
        <f t="shared" si="26"/>
        <v>0</v>
      </c>
      <c r="AF38" s="245">
        <f t="shared" si="19"/>
        <v>0</v>
      </c>
      <c r="AG38" s="140"/>
      <c r="AH38" s="268"/>
      <c r="AI38" s="268"/>
      <c r="AJ38" s="268"/>
      <c r="AK38" s="268"/>
      <c r="AL38" s="268"/>
      <c r="AM38" s="662"/>
      <c r="AN38" s="662"/>
      <c r="AO38" s="265"/>
      <c r="AP38" s="595" t="s">
        <v>159</v>
      </c>
      <c r="AQ38" s="265"/>
      <c r="AR38" s="267"/>
      <c r="AS38" s="29">
        <f t="shared" si="20"/>
        <v>0</v>
      </c>
      <c r="AT38"/>
      <c r="AU38"/>
      <c r="AZ38" s="151"/>
    </row>
    <row r="39" spans="2:52" ht="25.5" customHeight="1" x14ac:dyDescent="0.25">
      <c r="B39" s="265"/>
      <c r="C39" s="595"/>
      <c r="D39" s="265"/>
      <c r="E39" s="267"/>
      <c r="F39" s="29">
        <f t="shared" si="15"/>
        <v>0</v>
      </c>
      <c r="G39" s="268"/>
      <c r="H39" s="268"/>
      <c r="I39" s="268"/>
      <c r="J39" s="268"/>
      <c r="K39" s="268"/>
      <c r="L39" s="792"/>
      <c r="M39" s="792"/>
      <c r="N39" s="792"/>
      <c r="O39" s="792"/>
      <c r="P39" s="792"/>
      <c r="Q39" s="792"/>
      <c r="R39" s="792"/>
      <c r="S39" s="792"/>
      <c r="T39" s="26">
        <f t="shared" si="16"/>
        <v>0</v>
      </c>
      <c r="U39" s="26">
        <f t="shared" si="17"/>
        <v>0</v>
      </c>
      <c r="V39" s="26">
        <f t="shared" si="17"/>
        <v>0</v>
      </c>
      <c r="W39" s="26">
        <f t="shared" si="17"/>
        <v>0</v>
      </c>
      <c r="X39" s="26">
        <f t="shared" si="17"/>
        <v>0</v>
      </c>
      <c r="Y39" s="69">
        <f t="shared" si="21"/>
        <v>0</v>
      </c>
      <c r="Z39" s="567">
        <f t="shared" si="18"/>
        <v>0</v>
      </c>
      <c r="AA39" s="566">
        <f t="shared" si="22"/>
        <v>0</v>
      </c>
      <c r="AB39" s="244">
        <f t="shared" si="23"/>
        <v>0</v>
      </c>
      <c r="AC39" s="244">
        <f t="shared" si="24"/>
        <v>0</v>
      </c>
      <c r="AD39" s="244">
        <f t="shared" si="25"/>
        <v>0</v>
      </c>
      <c r="AE39" s="244">
        <f t="shared" si="26"/>
        <v>0</v>
      </c>
      <c r="AF39" s="245">
        <f t="shared" si="19"/>
        <v>0</v>
      </c>
      <c r="AG39" s="140"/>
      <c r="AH39" s="268"/>
      <c r="AI39" s="268"/>
      <c r="AJ39" s="268"/>
      <c r="AK39" s="268"/>
      <c r="AL39" s="268"/>
      <c r="AM39" s="662"/>
      <c r="AN39" s="662"/>
      <c r="AO39" s="265"/>
      <c r="AP39" s="595"/>
      <c r="AQ39" s="265"/>
      <c r="AR39" s="267"/>
      <c r="AS39" s="29">
        <f t="shared" si="20"/>
        <v>0</v>
      </c>
      <c r="AT39"/>
      <c r="AU39"/>
      <c r="AZ39" s="151"/>
    </row>
    <row r="40" spans="2:52" ht="25.5" customHeight="1" x14ac:dyDescent="0.25">
      <c r="B40" s="265"/>
      <c r="C40" s="595"/>
      <c r="D40" s="265"/>
      <c r="E40" s="267"/>
      <c r="F40" s="29">
        <f t="shared" si="15"/>
        <v>0</v>
      </c>
      <c r="G40" s="268"/>
      <c r="H40" s="268"/>
      <c r="I40" s="268"/>
      <c r="J40" s="268"/>
      <c r="K40" s="268"/>
      <c r="L40" s="792"/>
      <c r="M40" s="792"/>
      <c r="N40" s="792"/>
      <c r="O40" s="792"/>
      <c r="P40" s="792"/>
      <c r="Q40" s="792"/>
      <c r="R40" s="792"/>
      <c r="S40" s="792"/>
      <c r="T40" s="26">
        <f t="shared" si="16"/>
        <v>0</v>
      </c>
      <c r="U40" s="26">
        <f t="shared" si="17"/>
        <v>0</v>
      </c>
      <c r="V40" s="26">
        <f t="shared" si="17"/>
        <v>0</v>
      </c>
      <c r="W40" s="26">
        <f t="shared" si="17"/>
        <v>0</v>
      </c>
      <c r="X40" s="26">
        <f t="shared" si="17"/>
        <v>0</v>
      </c>
      <c r="Y40" s="69">
        <f t="shared" si="21"/>
        <v>0</v>
      </c>
      <c r="Z40" s="567">
        <f t="shared" si="18"/>
        <v>0</v>
      </c>
      <c r="AA40" s="566">
        <f t="shared" si="22"/>
        <v>0</v>
      </c>
      <c r="AB40" s="244">
        <f t="shared" si="23"/>
        <v>0</v>
      </c>
      <c r="AC40" s="244">
        <f t="shared" si="24"/>
        <v>0</v>
      </c>
      <c r="AD40" s="244">
        <f t="shared" si="25"/>
        <v>0</v>
      </c>
      <c r="AE40" s="244">
        <f t="shared" si="26"/>
        <v>0</v>
      </c>
      <c r="AF40" s="245">
        <f t="shared" si="19"/>
        <v>0</v>
      </c>
      <c r="AG40" s="140"/>
      <c r="AH40" s="268"/>
      <c r="AI40" s="268"/>
      <c r="AJ40" s="268"/>
      <c r="AK40" s="268"/>
      <c r="AL40" s="268"/>
      <c r="AM40" s="662"/>
      <c r="AN40" s="662"/>
      <c r="AO40" s="265"/>
      <c r="AP40" s="595"/>
      <c r="AQ40" s="265"/>
      <c r="AR40" s="267"/>
      <c r="AS40" s="29">
        <f t="shared" si="20"/>
        <v>0</v>
      </c>
      <c r="AT40"/>
      <c r="AU40"/>
      <c r="AZ40" s="151"/>
    </row>
    <row r="41" spans="2:52" ht="25.5" customHeight="1" x14ac:dyDescent="0.25">
      <c r="B41" s="265"/>
      <c r="C41" s="595"/>
      <c r="D41" s="265"/>
      <c r="E41" s="267"/>
      <c r="F41" s="29">
        <f t="shared" si="15"/>
        <v>0</v>
      </c>
      <c r="G41" s="268"/>
      <c r="H41" s="268"/>
      <c r="I41" s="268"/>
      <c r="J41" s="268"/>
      <c r="K41" s="268"/>
      <c r="L41" s="792"/>
      <c r="M41" s="792"/>
      <c r="N41" s="792"/>
      <c r="O41" s="792"/>
      <c r="P41" s="792"/>
      <c r="Q41" s="792"/>
      <c r="R41" s="792"/>
      <c r="S41" s="792"/>
      <c r="T41" s="26">
        <f t="shared" si="16"/>
        <v>0</v>
      </c>
      <c r="U41" s="26">
        <f t="shared" si="17"/>
        <v>0</v>
      </c>
      <c r="V41" s="26">
        <f t="shared" si="17"/>
        <v>0</v>
      </c>
      <c r="W41" s="26">
        <f t="shared" si="17"/>
        <v>0</v>
      </c>
      <c r="X41" s="26">
        <f t="shared" si="17"/>
        <v>0</v>
      </c>
      <c r="Y41" s="69">
        <f t="shared" si="21"/>
        <v>0</v>
      </c>
      <c r="Z41" s="567">
        <f t="shared" si="18"/>
        <v>0</v>
      </c>
      <c r="AA41" s="566">
        <f t="shared" si="22"/>
        <v>0</v>
      </c>
      <c r="AB41" s="244">
        <f t="shared" si="23"/>
        <v>0</v>
      </c>
      <c r="AC41" s="244">
        <f t="shared" si="24"/>
        <v>0</v>
      </c>
      <c r="AD41" s="244">
        <f t="shared" si="25"/>
        <v>0</v>
      </c>
      <c r="AE41" s="244">
        <f t="shared" si="26"/>
        <v>0</v>
      </c>
      <c r="AF41" s="245">
        <f t="shared" si="19"/>
        <v>0</v>
      </c>
      <c r="AG41" s="140"/>
      <c r="AH41" s="268"/>
      <c r="AI41" s="268"/>
      <c r="AJ41" s="268"/>
      <c r="AK41" s="268"/>
      <c r="AL41" s="268"/>
      <c r="AM41" s="662"/>
      <c r="AN41" s="662"/>
      <c r="AO41" s="265"/>
      <c r="AP41" s="595"/>
      <c r="AQ41" s="265"/>
      <c r="AR41" s="267"/>
      <c r="AS41" s="29">
        <f t="shared" si="20"/>
        <v>0</v>
      </c>
      <c r="AT41"/>
      <c r="AU41"/>
      <c r="AZ41" s="151"/>
    </row>
    <row r="42" spans="2:52" ht="25.5" customHeight="1" x14ac:dyDescent="0.25">
      <c r="B42" s="265"/>
      <c r="C42" s="595"/>
      <c r="D42" s="265"/>
      <c r="E42" s="267"/>
      <c r="F42" s="29">
        <f t="shared" si="15"/>
        <v>0</v>
      </c>
      <c r="G42" s="268"/>
      <c r="H42" s="268"/>
      <c r="I42" s="268"/>
      <c r="J42" s="268"/>
      <c r="K42" s="268"/>
      <c r="L42" s="792"/>
      <c r="M42" s="792"/>
      <c r="N42" s="792"/>
      <c r="O42" s="792"/>
      <c r="P42" s="792"/>
      <c r="Q42" s="792"/>
      <c r="R42" s="792"/>
      <c r="S42" s="792"/>
      <c r="T42" s="26">
        <f t="shared" si="16"/>
        <v>0</v>
      </c>
      <c r="U42" s="26">
        <f t="shared" si="17"/>
        <v>0</v>
      </c>
      <c r="V42" s="26">
        <f t="shared" si="17"/>
        <v>0</v>
      </c>
      <c r="W42" s="26">
        <f t="shared" si="17"/>
        <v>0</v>
      </c>
      <c r="X42" s="26">
        <f t="shared" si="17"/>
        <v>0</v>
      </c>
      <c r="Y42" s="69">
        <f t="shared" si="21"/>
        <v>0</v>
      </c>
      <c r="Z42" s="567">
        <f t="shared" si="18"/>
        <v>0</v>
      </c>
      <c r="AA42" s="566">
        <f t="shared" si="22"/>
        <v>0</v>
      </c>
      <c r="AB42" s="244">
        <f t="shared" si="23"/>
        <v>0</v>
      </c>
      <c r="AC42" s="244">
        <f t="shared" si="24"/>
        <v>0</v>
      </c>
      <c r="AD42" s="244">
        <f t="shared" si="25"/>
        <v>0</v>
      </c>
      <c r="AE42" s="244">
        <f t="shared" si="26"/>
        <v>0</v>
      </c>
      <c r="AF42" s="245">
        <f t="shared" si="19"/>
        <v>0</v>
      </c>
      <c r="AG42" s="140"/>
      <c r="AH42" s="268"/>
      <c r="AI42" s="268"/>
      <c r="AJ42" s="268"/>
      <c r="AK42" s="268"/>
      <c r="AL42" s="268"/>
      <c r="AM42" s="662"/>
      <c r="AN42" s="662"/>
      <c r="AO42" s="265"/>
      <c r="AP42" s="595"/>
      <c r="AQ42" s="265"/>
      <c r="AR42" s="267"/>
      <c r="AS42" s="29">
        <f t="shared" si="20"/>
        <v>0</v>
      </c>
      <c r="AT42"/>
      <c r="AU42"/>
      <c r="AZ42" s="151"/>
    </row>
    <row r="43" spans="2:52" ht="25.5" hidden="1" customHeight="1" outlineLevel="1" x14ac:dyDescent="0.25">
      <c r="B43" s="265"/>
      <c r="C43" s="595"/>
      <c r="D43" s="265"/>
      <c r="E43" s="267"/>
      <c r="F43" s="29">
        <f t="shared" si="15"/>
        <v>0</v>
      </c>
      <c r="G43" s="268"/>
      <c r="H43" s="268"/>
      <c r="I43" s="268"/>
      <c r="J43" s="268"/>
      <c r="K43" s="268"/>
      <c r="L43" s="792"/>
      <c r="M43" s="792"/>
      <c r="N43" s="792"/>
      <c r="O43" s="792"/>
      <c r="P43" s="792"/>
      <c r="Q43" s="792"/>
      <c r="R43" s="792"/>
      <c r="S43" s="792"/>
      <c r="T43" s="26">
        <f t="shared" si="16"/>
        <v>0</v>
      </c>
      <c r="U43" s="26">
        <f t="shared" si="17"/>
        <v>0</v>
      </c>
      <c r="V43" s="26">
        <f t="shared" si="17"/>
        <v>0</v>
      </c>
      <c r="W43" s="26">
        <f t="shared" si="17"/>
        <v>0</v>
      </c>
      <c r="X43" s="26">
        <f t="shared" si="17"/>
        <v>0</v>
      </c>
      <c r="Y43" s="69">
        <f t="shared" si="21"/>
        <v>0</v>
      </c>
      <c r="Z43" s="239">
        <f t="shared" si="18"/>
        <v>0</v>
      </c>
      <c r="AA43" s="244">
        <f t="shared" si="22"/>
        <v>0</v>
      </c>
      <c r="AB43" s="244">
        <f t="shared" si="23"/>
        <v>0</v>
      </c>
      <c r="AC43" s="244">
        <f t="shared" si="24"/>
        <v>0</v>
      </c>
      <c r="AD43" s="244">
        <f t="shared" si="25"/>
        <v>0</v>
      </c>
      <c r="AE43" s="244">
        <f t="shared" si="26"/>
        <v>0</v>
      </c>
      <c r="AF43" s="245">
        <f t="shared" si="19"/>
        <v>0</v>
      </c>
      <c r="AG43" s="140"/>
      <c r="AH43" s="268"/>
      <c r="AI43" s="268"/>
      <c r="AJ43" s="268"/>
      <c r="AK43" s="268"/>
      <c r="AL43" s="268"/>
      <c r="AM43" s="662"/>
      <c r="AN43" s="662"/>
      <c r="AO43" s="265"/>
      <c r="AP43" s="595"/>
      <c r="AQ43" s="265"/>
      <c r="AR43" s="267"/>
      <c r="AS43" s="29">
        <f t="shared" si="20"/>
        <v>0</v>
      </c>
      <c r="AT43"/>
      <c r="AU43"/>
      <c r="AZ43" s="151"/>
    </row>
    <row r="44" spans="2:52" ht="25.5" hidden="1" customHeight="1" outlineLevel="1" x14ac:dyDescent="0.25">
      <c r="B44" s="265"/>
      <c r="C44" s="595"/>
      <c r="D44" s="265"/>
      <c r="E44" s="267"/>
      <c r="F44" s="29">
        <f t="shared" si="15"/>
        <v>0</v>
      </c>
      <c r="G44" s="268"/>
      <c r="H44" s="268"/>
      <c r="I44" s="268"/>
      <c r="J44" s="268"/>
      <c r="K44" s="268"/>
      <c r="L44" s="792"/>
      <c r="M44" s="792"/>
      <c r="N44" s="792"/>
      <c r="O44" s="792"/>
      <c r="P44" s="792"/>
      <c r="Q44" s="792"/>
      <c r="R44" s="792"/>
      <c r="S44" s="792"/>
      <c r="T44" s="26">
        <f t="shared" si="16"/>
        <v>0</v>
      </c>
      <c r="U44" s="26">
        <f t="shared" si="17"/>
        <v>0</v>
      </c>
      <c r="V44" s="26">
        <f t="shared" si="17"/>
        <v>0</v>
      </c>
      <c r="W44" s="26">
        <f t="shared" si="17"/>
        <v>0</v>
      </c>
      <c r="X44" s="26">
        <f t="shared" si="17"/>
        <v>0</v>
      </c>
      <c r="Y44" s="69">
        <f t="shared" si="21"/>
        <v>0</v>
      </c>
      <c r="Z44" s="239">
        <f t="shared" si="18"/>
        <v>0</v>
      </c>
      <c r="AA44" s="244">
        <f t="shared" si="22"/>
        <v>0</v>
      </c>
      <c r="AB44" s="244">
        <f t="shared" si="23"/>
        <v>0</v>
      </c>
      <c r="AC44" s="244">
        <f t="shared" si="24"/>
        <v>0</v>
      </c>
      <c r="AD44" s="244">
        <f t="shared" si="25"/>
        <v>0</v>
      </c>
      <c r="AE44" s="244">
        <f t="shared" si="26"/>
        <v>0</v>
      </c>
      <c r="AF44" s="245">
        <f t="shared" si="19"/>
        <v>0</v>
      </c>
      <c r="AG44" s="140"/>
      <c r="AH44" s="268"/>
      <c r="AI44" s="268"/>
      <c r="AJ44" s="268"/>
      <c r="AK44" s="268"/>
      <c r="AL44" s="268"/>
      <c r="AM44" s="662"/>
      <c r="AN44" s="662"/>
      <c r="AO44" s="265"/>
      <c r="AP44" s="595"/>
      <c r="AQ44" s="265"/>
      <c r="AR44" s="267"/>
      <c r="AS44" s="29">
        <f t="shared" si="20"/>
        <v>0</v>
      </c>
      <c r="AT44"/>
      <c r="AU44"/>
      <c r="AZ44" s="151"/>
    </row>
    <row r="45" spans="2:52" ht="25.5" hidden="1" customHeight="1" outlineLevel="1" x14ac:dyDescent="0.25">
      <c r="B45" s="265"/>
      <c r="C45" s="595"/>
      <c r="D45" s="265"/>
      <c r="E45" s="267"/>
      <c r="F45" s="29">
        <f t="shared" si="15"/>
        <v>0</v>
      </c>
      <c r="G45" s="268"/>
      <c r="H45" s="268"/>
      <c r="I45" s="268"/>
      <c r="J45" s="268"/>
      <c r="K45" s="268"/>
      <c r="L45" s="792"/>
      <c r="M45" s="792"/>
      <c r="N45" s="792"/>
      <c r="O45" s="792"/>
      <c r="P45" s="792"/>
      <c r="Q45" s="792"/>
      <c r="R45" s="792"/>
      <c r="S45" s="792"/>
      <c r="T45" s="26">
        <f t="shared" si="16"/>
        <v>0</v>
      </c>
      <c r="U45" s="26">
        <f t="shared" si="17"/>
        <v>0</v>
      </c>
      <c r="V45" s="26">
        <f t="shared" si="17"/>
        <v>0</v>
      </c>
      <c r="W45" s="26">
        <f t="shared" si="17"/>
        <v>0</v>
      </c>
      <c r="X45" s="26">
        <f t="shared" si="17"/>
        <v>0</v>
      </c>
      <c r="Y45" s="69">
        <f t="shared" si="21"/>
        <v>0</v>
      </c>
      <c r="Z45" s="239">
        <f t="shared" si="18"/>
        <v>0</v>
      </c>
      <c r="AA45" s="244">
        <f t="shared" si="22"/>
        <v>0</v>
      </c>
      <c r="AB45" s="244">
        <f t="shared" si="23"/>
        <v>0</v>
      </c>
      <c r="AC45" s="244">
        <f t="shared" si="24"/>
        <v>0</v>
      </c>
      <c r="AD45" s="244">
        <f t="shared" si="25"/>
        <v>0</v>
      </c>
      <c r="AE45" s="244">
        <f t="shared" si="26"/>
        <v>0</v>
      </c>
      <c r="AF45" s="245">
        <f t="shared" si="19"/>
        <v>0</v>
      </c>
      <c r="AG45" s="140"/>
      <c r="AH45" s="268"/>
      <c r="AI45" s="268"/>
      <c r="AJ45" s="268"/>
      <c r="AK45" s="268"/>
      <c r="AL45" s="268"/>
      <c r="AM45" s="662"/>
      <c r="AN45" s="662"/>
      <c r="AO45" s="265"/>
      <c r="AP45" s="595"/>
      <c r="AQ45" s="265"/>
      <c r="AR45" s="267"/>
      <c r="AS45" s="29">
        <f t="shared" si="20"/>
        <v>0</v>
      </c>
      <c r="AT45"/>
      <c r="AU45"/>
      <c r="AZ45" s="151"/>
    </row>
    <row r="46" spans="2:52" ht="25.5" hidden="1" customHeight="1" outlineLevel="1" x14ac:dyDescent="0.25">
      <c r="B46" s="265"/>
      <c r="C46" s="595"/>
      <c r="D46" s="265"/>
      <c r="E46" s="267"/>
      <c r="F46" s="29">
        <f t="shared" si="15"/>
        <v>0</v>
      </c>
      <c r="G46" s="268"/>
      <c r="H46" s="268"/>
      <c r="I46" s="268"/>
      <c r="J46" s="268"/>
      <c r="K46" s="268"/>
      <c r="L46" s="792"/>
      <c r="M46" s="792"/>
      <c r="N46" s="792"/>
      <c r="O46" s="792"/>
      <c r="P46" s="792"/>
      <c r="Q46" s="792"/>
      <c r="R46" s="792"/>
      <c r="S46" s="792"/>
      <c r="T46" s="26">
        <f t="shared" si="16"/>
        <v>0</v>
      </c>
      <c r="U46" s="26">
        <f t="shared" si="17"/>
        <v>0</v>
      </c>
      <c r="V46" s="26">
        <f t="shared" si="17"/>
        <v>0</v>
      </c>
      <c r="W46" s="26">
        <f t="shared" si="17"/>
        <v>0</v>
      </c>
      <c r="X46" s="26">
        <f t="shared" si="17"/>
        <v>0</v>
      </c>
      <c r="Y46" s="69">
        <f t="shared" si="21"/>
        <v>0</v>
      </c>
      <c r="Z46" s="239">
        <f t="shared" si="18"/>
        <v>0</v>
      </c>
      <c r="AA46" s="244">
        <f t="shared" ref="AA46:AA52" si="27">ROUND($AS46*$AO46*AH46,0)</f>
        <v>0</v>
      </c>
      <c r="AB46" s="244">
        <f t="shared" ref="AB46:AB52" si="28">ROUND($AS46*1.03^H$2*$AO46*AI46,0)</f>
        <v>0</v>
      </c>
      <c r="AC46" s="244">
        <f t="shared" ref="AC46:AC52" si="29">ROUND($AS46*1.03^I$2*$AO46*AJ46,0)</f>
        <v>0</v>
      </c>
      <c r="AD46" s="244">
        <f t="shared" ref="AD46:AD52" si="30">ROUND($AS46*1.03^J$2*$AO46*AK46,0)</f>
        <v>0</v>
      </c>
      <c r="AE46" s="244">
        <f t="shared" ref="AE46:AE52" si="31">ROUND($AS46*1.03^K$2*$AO46*AL46,0)</f>
        <v>0</v>
      </c>
      <c r="AF46" s="245">
        <f t="shared" si="19"/>
        <v>0</v>
      </c>
      <c r="AG46" s="140"/>
      <c r="AH46" s="268"/>
      <c r="AI46" s="268"/>
      <c r="AJ46" s="268"/>
      <c r="AK46" s="268"/>
      <c r="AL46" s="268"/>
      <c r="AM46" s="662"/>
      <c r="AN46" s="662"/>
      <c r="AO46" s="265"/>
      <c r="AP46" s="595"/>
      <c r="AQ46" s="265"/>
      <c r="AR46" s="267"/>
      <c r="AS46" s="29">
        <f t="shared" si="20"/>
        <v>0</v>
      </c>
      <c r="AT46"/>
      <c r="AU46"/>
      <c r="AZ46" s="151"/>
    </row>
    <row r="47" spans="2:52" ht="25.5" hidden="1" customHeight="1" outlineLevel="1" x14ac:dyDescent="0.25">
      <c r="B47" s="265"/>
      <c r="C47" s="595"/>
      <c r="D47" s="265"/>
      <c r="E47" s="267"/>
      <c r="F47" s="29">
        <f t="shared" si="15"/>
        <v>0</v>
      </c>
      <c r="G47" s="268"/>
      <c r="H47" s="268"/>
      <c r="I47" s="268"/>
      <c r="J47" s="268"/>
      <c r="K47" s="268"/>
      <c r="L47" s="792"/>
      <c r="M47" s="792"/>
      <c r="N47" s="792"/>
      <c r="O47" s="792"/>
      <c r="P47" s="792"/>
      <c r="Q47" s="792"/>
      <c r="R47" s="792"/>
      <c r="S47" s="792"/>
      <c r="T47" s="26">
        <f t="shared" si="16"/>
        <v>0</v>
      </c>
      <c r="U47" s="26">
        <f t="shared" si="17"/>
        <v>0</v>
      </c>
      <c r="V47" s="26">
        <f t="shared" si="17"/>
        <v>0</v>
      </c>
      <c r="W47" s="26">
        <f t="shared" si="17"/>
        <v>0</v>
      </c>
      <c r="X47" s="26">
        <f t="shared" si="17"/>
        <v>0</v>
      </c>
      <c r="Y47" s="69">
        <f t="shared" si="21"/>
        <v>0</v>
      </c>
      <c r="Z47" s="239">
        <f t="shared" si="18"/>
        <v>0</v>
      </c>
      <c r="AA47" s="244">
        <f t="shared" si="27"/>
        <v>0</v>
      </c>
      <c r="AB47" s="244">
        <f t="shared" si="28"/>
        <v>0</v>
      </c>
      <c r="AC47" s="244">
        <f t="shared" si="29"/>
        <v>0</v>
      </c>
      <c r="AD47" s="244">
        <f t="shared" si="30"/>
        <v>0</v>
      </c>
      <c r="AE47" s="244">
        <f t="shared" si="31"/>
        <v>0</v>
      </c>
      <c r="AF47" s="245">
        <f t="shared" si="19"/>
        <v>0</v>
      </c>
      <c r="AG47" s="140"/>
      <c r="AH47" s="268"/>
      <c r="AI47" s="268"/>
      <c r="AJ47" s="268"/>
      <c r="AK47" s="268"/>
      <c r="AL47" s="268"/>
      <c r="AM47" s="662"/>
      <c r="AN47" s="662"/>
      <c r="AO47" s="265"/>
      <c r="AP47" s="595"/>
      <c r="AQ47" s="265"/>
      <c r="AR47" s="267"/>
      <c r="AS47" s="29">
        <f t="shared" si="20"/>
        <v>0</v>
      </c>
      <c r="AT47"/>
      <c r="AU47"/>
      <c r="AZ47" s="151"/>
    </row>
    <row r="48" spans="2:52" ht="25.5" hidden="1" customHeight="1" outlineLevel="1" x14ac:dyDescent="0.25">
      <c r="B48" s="265"/>
      <c r="C48" s="595"/>
      <c r="D48" s="265"/>
      <c r="E48" s="267"/>
      <c r="F48" s="29">
        <f t="shared" si="15"/>
        <v>0</v>
      </c>
      <c r="G48" s="268"/>
      <c r="H48" s="268"/>
      <c r="I48" s="268"/>
      <c r="J48" s="268"/>
      <c r="K48" s="268"/>
      <c r="L48" s="792"/>
      <c r="M48" s="792"/>
      <c r="N48" s="792"/>
      <c r="O48" s="792"/>
      <c r="P48" s="792"/>
      <c r="Q48" s="792"/>
      <c r="R48" s="792"/>
      <c r="S48" s="792"/>
      <c r="T48" s="26">
        <f t="shared" si="16"/>
        <v>0</v>
      </c>
      <c r="U48" s="26">
        <f t="shared" si="17"/>
        <v>0</v>
      </c>
      <c r="V48" s="26">
        <f t="shared" si="17"/>
        <v>0</v>
      </c>
      <c r="W48" s="26">
        <f t="shared" si="17"/>
        <v>0</v>
      </c>
      <c r="X48" s="26">
        <f t="shared" si="17"/>
        <v>0</v>
      </c>
      <c r="Y48" s="69">
        <f t="shared" si="21"/>
        <v>0</v>
      </c>
      <c r="Z48" s="239">
        <f t="shared" si="18"/>
        <v>0</v>
      </c>
      <c r="AA48" s="244">
        <f t="shared" si="27"/>
        <v>0</v>
      </c>
      <c r="AB48" s="244">
        <f t="shared" si="28"/>
        <v>0</v>
      </c>
      <c r="AC48" s="244">
        <f t="shared" si="29"/>
        <v>0</v>
      </c>
      <c r="AD48" s="244">
        <f t="shared" si="30"/>
        <v>0</v>
      </c>
      <c r="AE48" s="244">
        <f t="shared" si="31"/>
        <v>0</v>
      </c>
      <c r="AF48" s="245">
        <f t="shared" si="19"/>
        <v>0</v>
      </c>
      <c r="AG48" s="140"/>
      <c r="AH48" s="268"/>
      <c r="AI48" s="268"/>
      <c r="AJ48" s="268"/>
      <c r="AK48" s="268"/>
      <c r="AL48" s="268"/>
      <c r="AM48" s="662"/>
      <c r="AN48" s="662"/>
      <c r="AO48" s="265"/>
      <c r="AP48" s="595"/>
      <c r="AQ48" s="265"/>
      <c r="AR48" s="267"/>
      <c r="AS48" s="29">
        <f t="shared" si="20"/>
        <v>0</v>
      </c>
      <c r="AT48"/>
      <c r="AU48"/>
      <c r="AZ48" s="151"/>
    </row>
    <row r="49" spans="2:53" ht="25.5" hidden="1" customHeight="1" outlineLevel="1" x14ac:dyDescent="0.25">
      <c r="B49" s="265"/>
      <c r="C49" s="595"/>
      <c r="D49" s="265"/>
      <c r="E49" s="267"/>
      <c r="F49" s="29">
        <f t="shared" si="15"/>
        <v>0</v>
      </c>
      <c r="G49" s="268"/>
      <c r="H49" s="268"/>
      <c r="I49" s="268"/>
      <c r="J49" s="268"/>
      <c r="K49" s="268"/>
      <c r="L49" s="792"/>
      <c r="M49" s="792"/>
      <c r="N49" s="792"/>
      <c r="O49" s="792"/>
      <c r="P49" s="792"/>
      <c r="Q49" s="792"/>
      <c r="R49" s="792"/>
      <c r="S49" s="792"/>
      <c r="T49" s="26">
        <f t="shared" si="16"/>
        <v>0</v>
      </c>
      <c r="U49" s="26">
        <f t="shared" si="17"/>
        <v>0</v>
      </c>
      <c r="V49" s="26">
        <f t="shared" si="17"/>
        <v>0</v>
      </c>
      <c r="W49" s="26">
        <f t="shared" si="17"/>
        <v>0</v>
      </c>
      <c r="X49" s="26">
        <f t="shared" si="17"/>
        <v>0</v>
      </c>
      <c r="Y49" s="69">
        <f t="shared" si="21"/>
        <v>0</v>
      </c>
      <c r="Z49" s="239">
        <f t="shared" si="18"/>
        <v>0</v>
      </c>
      <c r="AA49" s="244">
        <f t="shared" si="27"/>
        <v>0</v>
      </c>
      <c r="AB49" s="244">
        <f t="shared" si="28"/>
        <v>0</v>
      </c>
      <c r="AC49" s="244">
        <f t="shared" si="29"/>
        <v>0</v>
      </c>
      <c r="AD49" s="244">
        <f t="shared" si="30"/>
        <v>0</v>
      </c>
      <c r="AE49" s="244">
        <f t="shared" si="31"/>
        <v>0</v>
      </c>
      <c r="AF49" s="245">
        <f t="shared" si="19"/>
        <v>0</v>
      </c>
      <c r="AG49" s="140"/>
      <c r="AH49" s="268"/>
      <c r="AI49" s="268"/>
      <c r="AJ49" s="268"/>
      <c r="AK49" s="268"/>
      <c r="AL49" s="268"/>
      <c r="AM49" s="662"/>
      <c r="AN49" s="662"/>
      <c r="AO49" s="265"/>
      <c r="AP49" s="595"/>
      <c r="AQ49" s="265"/>
      <c r="AR49" s="267"/>
      <c r="AS49" s="29">
        <f t="shared" si="20"/>
        <v>0</v>
      </c>
      <c r="AT49"/>
      <c r="AU49"/>
      <c r="AZ49" s="151"/>
    </row>
    <row r="50" spans="2:53" ht="25.5" hidden="1" customHeight="1" outlineLevel="1" x14ac:dyDescent="0.25">
      <c r="B50" s="265"/>
      <c r="C50" s="595"/>
      <c r="D50" s="265"/>
      <c r="E50" s="267"/>
      <c r="F50" s="29">
        <f t="shared" si="15"/>
        <v>0</v>
      </c>
      <c r="G50" s="268"/>
      <c r="H50" s="268"/>
      <c r="I50" s="268"/>
      <c r="J50" s="268"/>
      <c r="K50" s="268"/>
      <c r="L50" s="792"/>
      <c r="M50" s="792"/>
      <c r="N50" s="792"/>
      <c r="O50" s="792"/>
      <c r="P50" s="792"/>
      <c r="Q50" s="792"/>
      <c r="R50" s="792"/>
      <c r="S50" s="792"/>
      <c r="T50" s="26">
        <f t="shared" si="16"/>
        <v>0</v>
      </c>
      <c r="U50" s="26">
        <f t="shared" si="17"/>
        <v>0</v>
      </c>
      <c r="V50" s="26">
        <f t="shared" si="17"/>
        <v>0</v>
      </c>
      <c r="W50" s="26">
        <f t="shared" si="17"/>
        <v>0</v>
      </c>
      <c r="X50" s="26">
        <f t="shared" si="17"/>
        <v>0</v>
      </c>
      <c r="Y50" s="69">
        <f t="shared" si="21"/>
        <v>0</v>
      </c>
      <c r="Z50" s="239">
        <f t="shared" si="18"/>
        <v>0</v>
      </c>
      <c r="AA50" s="244">
        <f t="shared" si="27"/>
        <v>0</v>
      </c>
      <c r="AB50" s="244">
        <f t="shared" si="28"/>
        <v>0</v>
      </c>
      <c r="AC50" s="244">
        <f t="shared" si="29"/>
        <v>0</v>
      </c>
      <c r="AD50" s="244">
        <f t="shared" si="30"/>
        <v>0</v>
      </c>
      <c r="AE50" s="244">
        <f t="shared" si="31"/>
        <v>0</v>
      </c>
      <c r="AF50" s="245">
        <f t="shared" si="19"/>
        <v>0</v>
      </c>
      <c r="AG50" s="140"/>
      <c r="AH50" s="268"/>
      <c r="AI50" s="268"/>
      <c r="AJ50" s="268"/>
      <c r="AK50" s="268"/>
      <c r="AL50" s="268"/>
      <c r="AM50" s="662"/>
      <c r="AN50" s="662"/>
      <c r="AO50" s="265"/>
      <c r="AP50" s="595"/>
      <c r="AQ50" s="265"/>
      <c r="AR50" s="267"/>
      <c r="AS50" s="29">
        <f t="shared" si="20"/>
        <v>0</v>
      </c>
      <c r="AT50"/>
      <c r="AU50"/>
      <c r="AZ50" s="151"/>
    </row>
    <row r="51" spans="2:53" ht="25.5" hidden="1" customHeight="1" outlineLevel="1" x14ac:dyDescent="0.25">
      <c r="B51" s="266"/>
      <c r="C51" s="596"/>
      <c r="D51" s="265"/>
      <c r="E51" s="267"/>
      <c r="F51" s="29">
        <f t="shared" si="15"/>
        <v>0</v>
      </c>
      <c r="G51" s="268"/>
      <c r="H51" s="268"/>
      <c r="I51" s="268"/>
      <c r="J51" s="268"/>
      <c r="K51" s="268"/>
      <c r="L51" s="792"/>
      <c r="M51" s="792"/>
      <c r="N51" s="792"/>
      <c r="O51" s="792"/>
      <c r="P51" s="792"/>
      <c r="Q51" s="792"/>
      <c r="R51" s="792"/>
      <c r="S51" s="792"/>
      <c r="T51" s="26">
        <f t="shared" si="16"/>
        <v>0</v>
      </c>
      <c r="U51" s="26">
        <f t="shared" si="17"/>
        <v>0</v>
      </c>
      <c r="V51" s="26">
        <f t="shared" si="17"/>
        <v>0</v>
      </c>
      <c r="W51" s="26">
        <f t="shared" si="17"/>
        <v>0</v>
      </c>
      <c r="X51" s="26">
        <f t="shared" si="17"/>
        <v>0</v>
      </c>
      <c r="Y51" s="69">
        <f>ROUND(SUM(T51:X51),0)</f>
        <v>0</v>
      </c>
      <c r="Z51" s="239">
        <f t="shared" si="18"/>
        <v>0</v>
      </c>
      <c r="AA51" s="244">
        <f t="shared" si="27"/>
        <v>0</v>
      </c>
      <c r="AB51" s="244">
        <f t="shared" si="28"/>
        <v>0</v>
      </c>
      <c r="AC51" s="244">
        <f t="shared" si="29"/>
        <v>0</v>
      </c>
      <c r="AD51" s="244">
        <f t="shared" si="30"/>
        <v>0</v>
      </c>
      <c r="AE51" s="244">
        <f t="shared" si="31"/>
        <v>0</v>
      </c>
      <c r="AF51" s="245">
        <f t="shared" si="19"/>
        <v>0</v>
      </c>
      <c r="AG51" s="140"/>
      <c r="AH51" s="268"/>
      <c r="AI51" s="268"/>
      <c r="AJ51" s="268"/>
      <c r="AK51" s="268"/>
      <c r="AL51" s="268"/>
      <c r="AM51" s="662"/>
      <c r="AN51" s="662"/>
      <c r="AO51" s="266"/>
      <c r="AP51" s="596"/>
      <c r="AQ51" s="266"/>
      <c r="AR51" s="267"/>
      <c r="AS51" s="29">
        <f t="shared" si="20"/>
        <v>0</v>
      </c>
      <c r="AT51"/>
      <c r="AU51"/>
      <c r="AZ51" s="151"/>
    </row>
    <row r="52" spans="2:53" ht="25.5" hidden="1" customHeight="1" outlineLevel="1" x14ac:dyDescent="0.25">
      <c r="B52" s="266"/>
      <c r="C52" s="596"/>
      <c r="D52" s="265"/>
      <c r="E52" s="267"/>
      <c r="F52" s="29">
        <f t="shared" si="15"/>
        <v>0</v>
      </c>
      <c r="G52" s="268"/>
      <c r="H52" s="268"/>
      <c r="I52" s="268"/>
      <c r="J52" s="268"/>
      <c r="K52" s="268"/>
      <c r="L52" s="792"/>
      <c r="M52" s="792"/>
      <c r="N52" s="792"/>
      <c r="O52" s="792"/>
      <c r="P52" s="792"/>
      <c r="Q52" s="792"/>
      <c r="R52" s="792"/>
      <c r="S52" s="792"/>
      <c r="T52" s="26">
        <f t="shared" si="16"/>
        <v>0</v>
      </c>
      <c r="U52" s="26">
        <f t="shared" si="17"/>
        <v>0</v>
      </c>
      <c r="V52" s="26">
        <f t="shared" si="17"/>
        <v>0</v>
      </c>
      <c r="W52" s="26">
        <f t="shared" si="17"/>
        <v>0</v>
      </c>
      <c r="X52" s="26">
        <f t="shared" si="17"/>
        <v>0</v>
      </c>
      <c r="Y52" s="69">
        <f t="shared" si="21"/>
        <v>0</v>
      </c>
      <c r="Z52" s="239">
        <f t="shared" si="18"/>
        <v>0</v>
      </c>
      <c r="AA52" s="244">
        <f t="shared" si="27"/>
        <v>0</v>
      </c>
      <c r="AB52" s="244">
        <f t="shared" si="28"/>
        <v>0</v>
      </c>
      <c r="AC52" s="244">
        <f t="shared" si="29"/>
        <v>0</v>
      </c>
      <c r="AD52" s="244">
        <f t="shared" si="30"/>
        <v>0</v>
      </c>
      <c r="AE52" s="244">
        <f t="shared" si="31"/>
        <v>0</v>
      </c>
      <c r="AF52" s="245">
        <f t="shared" si="19"/>
        <v>0</v>
      </c>
      <c r="AG52" s="140"/>
      <c r="AH52" s="268"/>
      <c r="AI52" s="268"/>
      <c r="AJ52" s="268"/>
      <c r="AK52" s="268"/>
      <c r="AL52" s="268"/>
      <c r="AM52" s="662"/>
      <c r="AN52" s="662"/>
      <c r="AO52" s="266"/>
      <c r="AP52" s="596"/>
      <c r="AQ52" s="266"/>
      <c r="AR52" s="267"/>
      <c r="AS52" s="29">
        <f t="shared" si="20"/>
        <v>0</v>
      </c>
      <c r="AT52"/>
      <c r="AU52"/>
      <c r="AZ52" s="151"/>
      <c r="BA52" s="28"/>
    </row>
    <row r="53" spans="2:53" customFormat="1" ht="33.75" customHeight="1" collapsed="1" x14ac:dyDescent="0.25">
      <c r="B53" s="697" t="s">
        <v>160</v>
      </c>
      <c r="C53" s="697"/>
      <c r="D53" s="697"/>
      <c r="E53" s="697"/>
      <c r="F53" s="697"/>
      <c r="G53" s="697"/>
      <c r="H53" s="697"/>
      <c r="I53" s="697"/>
      <c r="J53" s="697"/>
      <c r="K53" s="697"/>
      <c r="L53" s="697"/>
      <c r="M53" s="697"/>
      <c r="N53" s="697"/>
      <c r="O53" s="697"/>
      <c r="P53" s="697"/>
      <c r="Q53" s="697"/>
      <c r="R53" s="697"/>
      <c r="S53" s="697"/>
      <c r="T53" s="353">
        <f t="shared" ref="T53:Y53" si="32">ROUND(SUM(T33:T52),0)</f>
        <v>0</v>
      </c>
      <c r="U53" s="353">
        <f t="shared" si="32"/>
        <v>0</v>
      </c>
      <c r="V53" s="367">
        <f t="shared" si="32"/>
        <v>0</v>
      </c>
      <c r="W53" s="367">
        <f t="shared" si="32"/>
        <v>0</v>
      </c>
      <c r="X53" s="367">
        <f t="shared" si="32"/>
        <v>0</v>
      </c>
      <c r="Y53" s="367">
        <f t="shared" si="32"/>
        <v>0</v>
      </c>
      <c r="Z53" s="572"/>
      <c r="AA53" s="411">
        <f t="shared" ref="AA53:AE53" si="33">SUM(AA33:AA52)</f>
        <v>0</v>
      </c>
      <c r="AB53" s="411">
        <f t="shared" si="33"/>
        <v>0</v>
      </c>
      <c r="AC53" s="411">
        <f t="shared" si="33"/>
        <v>0</v>
      </c>
      <c r="AD53" s="411">
        <f t="shared" si="33"/>
        <v>0</v>
      </c>
      <c r="AE53" s="411">
        <f t="shared" si="33"/>
        <v>0</v>
      </c>
      <c r="AF53" s="411">
        <f>SUM(AF33:AF52)</f>
        <v>0</v>
      </c>
      <c r="AG53" s="412"/>
      <c r="AH53" s="709" t="s">
        <v>161</v>
      </c>
      <c r="AI53" s="709"/>
      <c r="AJ53" s="709"/>
      <c r="AK53" s="709"/>
      <c r="AL53" s="709"/>
      <c r="AM53" s="709"/>
      <c r="AN53" s="709"/>
      <c r="AO53" s="709"/>
      <c r="AP53" s="709"/>
      <c r="AQ53" s="709"/>
      <c r="AR53" s="709"/>
      <c r="AS53" s="709"/>
      <c r="AT53" s="709"/>
      <c r="AU53" s="709"/>
      <c r="AV53" s="709"/>
      <c r="AW53" s="709"/>
      <c r="AX53" s="709"/>
      <c r="AY53" s="709"/>
      <c r="AZ53" s="710"/>
      <c r="BA53" s="220"/>
    </row>
    <row r="54" spans="2:53" ht="51" customHeight="1" thickBot="1" x14ac:dyDescent="0.35">
      <c r="B54" s="729" t="s">
        <v>162</v>
      </c>
      <c r="C54" s="729"/>
      <c r="D54" s="729"/>
      <c r="E54" s="729"/>
      <c r="F54" s="729"/>
      <c r="G54" s="729"/>
      <c r="H54" s="729"/>
      <c r="I54" s="729"/>
      <c r="J54" s="729"/>
      <c r="K54" s="729"/>
      <c r="L54" s="729"/>
      <c r="M54" s="729"/>
      <c r="N54" s="729"/>
      <c r="O54" s="729"/>
      <c r="P54" s="729"/>
      <c r="Q54" s="729"/>
      <c r="R54" s="729"/>
      <c r="S54" s="729"/>
      <c r="T54" s="729"/>
      <c r="U54" s="729"/>
      <c r="V54" s="729"/>
      <c r="W54" s="729"/>
      <c r="X54" s="729"/>
      <c r="Y54" s="729"/>
      <c r="Z54" s="573"/>
      <c r="AA54" s="660" t="s">
        <v>163</v>
      </c>
      <c r="AB54" s="660"/>
      <c r="AC54" s="660"/>
      <c r="AD54" s="660"/>
      <c r="AE54" s="660"/>
      <c r="AF54" s="660"/>
      <c r="AG54" s="660"/>
      <c r="AH54" s="660"/>
      <c r="AI54" s="660"/>
      <c r="AJ54" s="660"/>
      <c r="AK54" s="660"/>
      <c r="AL54" s="660"/>
      <c r="AM54" s="660"/>
      <c r="AN54" s="660"/>
      <c r="AO54" s="660"/>
      <c r="AP54" s="660"/>
      <c r="AQ54" s="660"/>
      <c r="AR54" s="660"/>
      <c r="AS54" s="660"/>
      <c r="AT54" s="660"/>
      <c r="AU54" s="660"/>
      <c r="AV54" s="660"/>
      <c r="AW54" s="660"/>
      <c r="AX54" s="660"/>
      <c r="AY54" s="660"/>
      <c r="AZ54" s="660"/>
    </row>
    <row r="55" spans="2:53" ht="46.5" customHeight="1" thickTop="1" x14ac:dyDescent="0.25">
      <c r="B55" s="54" t="s">
        <v>164</v>
      </c>
      <c r="C55" s="54" t="s">
        <v>119</v>
      </c>
      <c r="D55" s="54" t="s">
        <v>76</v>
      </c>
      <c r="E55" s="53" t="s">
        <v>148</v>
      </c>
      <c r="F55" s="53"/>
      <c r="G55" s="135" t="s">
        <v>165</v>
      </c>
      <c r="H55" s="135" t="s">
        <v>166</v>
      </c>
      <c r="I55" s="135" t="s">
        <v>167</v>
      </c>
      <c r="J55" s="135" t="s">
        <v>168</v>
      </c>
      <c r="K55" s="135" t="s">
        <v>169</v>
      </c>
      <c r="M55" s="671" t="s">
        <v>170</v>
      </c>
      <c r="N55" s="53" t="s">
        <v>122</v>
      </c>
      <c r="O55" s="53" t="s">
        <v>123</v>
      </c>
      <c r="P55" s="53" t="s">
        <v>124</v>
      </c>
      <c r="Q55" s="53" t="s">
        <v>125</v>
      </c>
      <c r="R55" s="53" t="s">
        <v>126</v>
      </c>
      <c r="S55"/>
      <c r="T55" s="52" t="s">
        <v>128</v>
      </c>
      <c r="U55" s="52" t="s">
        <v>129</v>
      </c>
      <c r="V55" s="52" t="s">
        <v>130</v>
      </c>
      <c r="W55" s="52" t="s">
        <v>131</v>
      </c>
      <c r="X55" s="52" t="s">
        <v>132</v>
      </c>
      <c r="Y55" s="240" t="s">
        <v>112</v>
      </c>
      <c r="Z55" s="561"/>
      <c r="AA55" s="55" t="s">
        <v>128</v>
      </c>
      <c r="AB55" s="55" t="s">
        <v>129</v>
      </c>
      <c r="AC55" s="55" t="s">
        <v>130</v>
      </c>
      <c r="AD55" s="55" t="s">
        <v>131</v>
      </c>
      <c r="AE55" s="55" t="s">
        <v>132</v>
      </c>
      <c r="AF55" s="393" t="s">
        <v>133</v>
      </c>
      <c r="AH55" s="53" t="s">
        <v>171</v>
      </c>
      <c r="AI55" s="53" t="s">
        <v>172</v>
      </c>
      <c r="AJ55" s="53" t="s">
        <v>173</v>
      </c>
      <c r="AK55" s="53" t="s">
        <v>174</v>
      </c>
      <c r="AL55" s="53" t="s">
        <v>175</v>
      </c>
      <c r="AO55" s="54" t="s">
        <v>164</v>
      </c>
      <c r="AP55" s="54" t="s">
        <v>119</v>
      </c>
      <c r="AQ55" s="54" t="s">
        <v>76</v>
      </c>
      <c r="AR55" s="53" t="s">
        <v>148</v>
      </c>
      <c r="AU55" s="53" t="s">
        <v>122</v>
      </c>
      <c r="AV55" s="53" t="s">
        <v>123</v>
      </c>
      <c r="AW55" s="53" t="s">
        <v>124</v>
      </c>
      <c r="AX55" s="53" t="s">
        <v>125</v>
      </c>
      <c r="AY55" s="53" t="s">
        <v>125</v>
      </c>
      <c r="AZ55" s="151"/>
      <c r="BA55" s="28"/>
    </row>
    <row r="56" spans="2:53" ht="25.5" customHeight="1" x14ac:dyDescent="0.25">
      <c r="B56" s="265"/>
      <c r="C56" s="597" t="s">
        <v>176</v>
      </c>
      <c r="D56" s="210" t="s">
        <v>177</v>
      </c>
      <c r="E56" s="269"/>
      <c r="F56" s="138"/>
      <c r="G56" s="266"/>
      <c r="H56" s="266"/>
      <c r="I56" s="266"/>
      <c r="J56" s="266"/>
      <c r="K56" s="266"/>
      <c r="L56" s="212"/>
      <c r="M56" s="662"/>
      <c r="N56" s="136" cm="1">
        <f t="array" ref="N56">_xlfn.IFS($D$56="Full Year", ROUND((((G56*(52/12)*8.77)/1520)*8.77)*2,2),
$D$56="Fall",ROUND((((G56*(((52/12)*8.77)/1520)*8.77))/2)*2,2),
$D$56="Spring",(ROUND((((G56*(((52/12)*8.77)/1520)*8.77))/2)*2,2)))</f>
        <v>0</v>
      </c>
      <c r="O56" s="136" cm="1">
        <f t="array" ref="O56">_xlfn.IFS($D$56="Full Year", ROUND((((H56*(52/12)*8.77)/1520)*8.77)*2,2),
$D$56="Fall",ROUND((((H56*(((52/12)*8.77)/1520)*8.77))/2)*2,2),
$D$56="Spring",(ROUND((((H56*(((52/12)*8.77)/1520)*8.77))/2)*2,2)))</f>
        <v>0</v>
      </c>
      <c r="P56" s="136" cm="1">
        <f t="array" ref="P56">_xlfn.IFS($D$56="Full Year", ROUND((((I56*(52/12)*8.77)/1520)*8.77)*2,2),
$D$56="Fall",ROUND((((I56*(((52/12)*8.77)/1520)*8.77))/2)*2,2),
$D$56="Spring",(ROUND((((I56*(((52/12)*8.77)/1520)*8.77))/2)*2,2)))</f>
        <v>0</v>
      </c>
      <c r="Q56" s="136" cm="1">
        <f t="array" ref="Q56">_xlfn.IFS($D$56="Full Year", ROUND((((J56*(52/12)*8.77)/1520)*8.77)*2,2),
$D$56="Fall",ROUND((((J56*(((52/12)*8.77)/1520)*8.77))/2)*2,2),
$D$56="Spring",(ROUND((((J56*(((52/12)*8.77)/1520)*8.77))/2)*2,2)))</f>
        <v>0</v>
      </c>
      <c r="R56" s="136" cm="1">
        <f t="array" ref="R56">_xlfn.IFS($D$56="Full Year", ROUND((((K56*(52/12)*8.77)/1520)*8.77)*2,2),
$D$56="Fall",ROUND((((K56*(((52/12)*8.77)/1520)*8.77))/2)*2,2),
$D$56="Spring",(ROUND((((K56*(((52/12)*8.77)/1520)*8.77))/2)*2,2)))</f>
        <v>0</v>
      </c>
      <c r="S56"/>
      <c r="T56" s="68" cm="1">
        <f t="array" ref="T56">ROUND(_xlfn.IFS($D$56="Full year", ((($E$56*8.77/760*G56*38)*$B$56)*1.03^G$2),
$D$56="Fall", ((($E$56*8.77/760*G56*19)*$B$56)*1.03^G$2),
$D$56="Spring",(($E$56*8.77/760*G56*19)*$B$56)*1.03^G$2),0)</f>
        <v>0</v>
      </c>
      <c r="U56" s="68" cm="1">
        <f t="array" ref="U56">ROUND(_xlfn.IFS($D$56="Full year", ((($E$56*8.77/760*H56*38)*$B$56)*1.03^H$2),
$D$56="Fall", ((($E$56*8.77/760*H56*19)*$B$56)*1.03^H$2),
$D$56="Spring",(($E$56*8.77/760*H56*19)*$B$56)*1.03^H$2),0)</f>
        <v>0</v>
      </c>
      <c r="V56" s="68" cm="1">
        <f t="array" ref="V56">ROUND(_xlfn.IFS($D$56="Full year", ((($E$56*8.77/760*I56*38)*$B$56)*1.03^I$2),
$D$56="Fall", ((($E$56*8.77/760*I56*19)*$B$56)*1.03^I$2),
$D$56="Spring",(($E$56*8.77/760*I56*19)*$B$56)*1.03^I$2),0)</f>
        <v>0</v>
      </c>
      <c r="W56" s="68" cm="1">
        <f t="array" ref="W56">ROUND(_xlfn.IFS($D$56="Full year", ((($E$56*8.77/760*J56*38)*$B$56)*1.03^J$2),
$D$56="Fall", ((($E$56*8.77/760*J56*19)*$B$56)*1.03^J$2),
$D$56="Spring",(($E$56*8.77/760*J56*19)*$B$56)*1.03^J$2),0)</f>
        <v>0</v>
      </c>
      <c r="X56" s="68" cm="1">
        <f t="array" ref="X56">ROUND(_xlfn.IFS($D$56="Full year", ((($E$56*8.77/760*K56*38)*$B$56)*1.03^K$2),
$D$56="Fall", ((($E$56*8.77/760*K56*19)*$B$56)*1.03^K$2),
$D$56="Spring",(($E$56*8.77/760*K56*19)*$B$56)*1.03^K$2),0)</f>
        <v>0</v>
      </c>
      <c r="Y56" s="70">
        <f t="shared" ref="Y56:Y65" si="34">ROUND(SUM(T56:X56),0)</f>
        <v>0</v>
      </c>
      <c r="Z56" s="571">
        <f t="shared" ref="Z56:Z67" si="35">Y56+AF56</f>
        <v>0</v>
      </c>
      <c r="AA56" s="562" cm="1">
        <f t="array" ref="AA56">_xlfn.IFS($AQ$56="Full year", ((($AR$56*8.77/760*AH56*38)*$AO$56)*1.03^G$2),
 $AQ$56="Fall", ((($AR$56*8.77/760*AH56*19)*$AO$56)*1.03^G$2),
$AQ$56="Spring",(($AR$56*8.77/760*AH56*19)*$AO$56)*1.03^G$2)</f>
        <v>0</v>
      </c>
      <c r="AB56" s="242" cm="1">
        <f t="array" ref="AB56">_xlfn.IFS($AQ$56="Full year", ((($AR$56*8.77/760*AI56*38)*$AO$56)*1.03^H$2),
 $AQ$56="Fall", ((($AR$56*8.77/760*AI56*19)*$AO$56)*1.03^H$2),
$AQ$56="Spring",(($AR$56*8.77/760*AI56*19)*AO$56)*1.03^H$2)</f>
        <v>0</v>
      </c>
      <c r="AC56" s="242" cm="1">
        <f t="array" ref="AC56">_xlfn.IFS($AQ$56="Full year", ((($AR$56*8.77/760*AJ56*38)*$AO$56)*1.03^I$2),
 $AQ$56="Fall", ((($AR$56*8.77/760*AJ56*19)*$AO$56)*1.03^I$2),
$AQ$56="Spring",(($AR$56*8.77/760*AJ56*19)*$AO$56)*1.03^I$2)</f>
        <v>0</v>
      </c>
      <c r="AD56" s="242" cm="1">
        <f t="array" ref="AD56">_xlfn.IFS($AQ$56="Full year", ((($AR$56*8.77/760*AK56*38)*$AO$56)*1.03^J$2),
 $AQ$56="Fall", ((($AR$56*8.77/760*AK56*19)*$AO$56)*1.03^J$2),
$AQ$56="Spring",(($AR$56*8.77/760*AK56*19)*$AO$56)*1.03^J$2)</f>
        <v>0</v>
      </c>
      <c r="AE56" s="242" cm="1">
        <f t="array" ref="AE56">_xlfn.IFS($AQ$56="Full year", ((($AR$56*8.77/760*AL56*38)*$AO$56)*1.03^K$2),
 $AQ$56="Fall", ((($AR$56*8.77/760*AL56*19)*$AO$56)*1.03^K$2),
$AQ$56="Spring",(($AR$56*8.77/760*AL56*19)*$AO$56)*1.03^K$2)</f>
        <v>0</v>
      </c>
      <c r="AF56" s="246">
        <f>SUM(AA56:AC56)</f>
        <v>0</v>
      </c>
      <c r="AG56" s="140"/>
      <c r="AH56" s="265"/>
      <c r="AI56" s="265"/>
      <c r="AJ56" s="265"/>
      <c r="AK56" s="265"/>
      <c r="AL56" s="265"/>
      <c r="AO56" s="265"/>
      <c r="AP56" s="597" t="s">
        <v>178</v>
      </c>
      <c r="AQ56" s="210" t="s">
        <v>179</v>
      </c>
      <c r="AR56" s="269"/>
      <c r="AU56" s="200" cm="1">
        <f t="array" ref="AU56">_xlfn.IFS($AQ$56="Full Year", ROUND((((AH56*(52/12)*8.77)/1520)*8.77)*2,2),
$AQ$56="Fall",ROUND((((AH56*(((52/12)*8.77)/1520)*8.77))/2)*2,2),
$AQ$56="Spring",(ROUND((((AH56*(((52/12)*8.77)/1520)*8.77))/2)*2,2)))</f>
        <v>0</v>
      </c>
      <c r="AV56" s="136" cm="1">
        <f t="array" ref="AV56">_xlfn.IFS($AQ$56="Full Year", ROUND((((AI56*(52/12)*8.77)/1520)*8.77)*2,2),
$AQ$56="Fall",ROUND((((AI56*(((52/12)*8.77)/1520)*8.77))/2)*2,2),
$AQ$56="Spring",(ROUND((((AI56*(((52/12)*8.77)/1520)*8.77))/2)*2,2)))</f>
        <v>0</v>
      </c>
      <c r="AW56" s="136" cm="1">
        <f t="array" ref="AW56">_xlfn.IFS($AQ$56="Full Year", ROUND((((AJ56*(52/12)*8.77)/1520)*8.77)*2,2),
$AQ$56="Fall",ROUND((((AJ56*(((52/12)*8.77)/1520)*8.77))/2)*2,2),
$AQ$56="Spring",(ROUND((((AJ56*(((52/12)*8.77)/1520)*8.77))/2)*2,2)))</f>
        <v>0</v>
      </c>
      <c r="AX56" s="136" cm="1">
        <f t="array" ref="AX56">_xlfn.IFS($AQ$56="Full Year", ROUND((((AK56*(52/12)*8.77)/1520)*8.77)*2,2),
$AQ$56="Fall",ROUND((((AK56*(((52/12)*8.77)/1520)*8.77))/2)*2,2),
$AQ$56="Spring",(ROUND((((AK56*(((52/12)*8.77)/1520)*8.77))/2)*2,2)))</f>
        <v>0</v>
      </c>
      <c r="AY56" s="136" cm="1">
        <f t="array" ref="AY56">_xlfn.IFS($AQ$56="Full Year", ROUND((((AL56*(52/12)*8.77)/1520)*8.77)*2,2),
$AQ$56="Fall",ROUND((((AL56*(((52/12)*8.77)/1520)*8.77))/2)*2,2),
$AQ$56="Spring",(ROUND((((AL56*(((52/12)*8.77)/1520)*8.77))/2)*2,2)))</f>
        <v>0</v>
      </c>
      <c r="AZ56" s="151"/>
      <c r="BA56" s="155"/>
    </row>
    <row r="57" spans="2:53" ht="25.5" customHeight="1" thickBot="1" x14ac:dyDescent="0.3">
      <c r="B57" s="297"/>
      <c r="C57" s="598"/>
      <c r="D57" s="31" t="s">
        <v>180</v>
      </c>
      <c r="E57" s="299"/>
      <c r="F57" s="138"/>
      <c r="G57" s="301"/>
      <c r="H57" s="301"/>
      <c r="I57" s="301"/>
      <c r="J57" s="301"/>
      <c r="K57" s="301"/>
      <c r="L57" s="212"/>
      <c r="M57" s="662"/>
      <c r="N57" s="136">
        <f>ROUND(((G57*(52/12)*3.23)/560)*3.23,2)</f>
        <v>0</v>
      </c>
      <c r="O57" s="136">
        <f>ROUND(((H57*(52/12)*3.23)/560)*3.23,2)</f>
        <v>0</v>
      </c>
      <c r="P57" s="136">
        <f>ROUND(((I57*(52/12)*3.23)/560)*3.23,2)</f>
        <v>0</v>
      </c>
      <c r="Q57" s="136">
        <f>ROUND(((J57*(52/12)*3.23)/560)*3.23,2)</f>
        <v>0</v>
      </c>
      <c r="R57" s="136">
        <f>ROUND(((K57*(52/12)*3.23)/560)*3.23,2)</f>
        <v>0</v>
      </c>
      <c r="S57"/>
      <c r="T57" s="303">
        <f>ROUND((($E$57*3.23/560*G57*14)*$B$57)*1.03^G$2,0)</f>
        <v>0</v>
      </c>
      <c r="U57" s="303">
        <f>ROUND((($E$57*3.23/560*H57*14)*$B$57)*1.03^H$2,0)</f>
        <v>0</v>
      </c>
      <c r="V57" s="303">
        <f>ROUND((($E$57*3.23/560*I57*14)*$B$57)*1.03^I$2,0)</f>
        <v>0</v>
      </c>
      <c r="W57" s="303">
        <f>ROUND((($E$57*3.23/560*J57*14)*$B$57)*1.03^J$2,0)</f>
        <v>0</v>
      </c>
      <c r="X57" s="303">
        <f>ROUND((($E$57*3.23/560*K57*14)*$B$57)*1.03^K$2,0)</f>
        <v>0</v>
      </c>
      <c r="Y57" s="338">
        <f t="shared" si="34"/>
        <v>0</v>
      </c>
      <c r="Z57" s="571">
        <f t="shared" si="35"/>
        <v>0</v>
      </c>
      <c r="AA57" s="568">
        <f>(($AR$57*8.77/760*AH57*14)*$AO$57)*1.03^G$2</f>
        <v>0</v>
      </c>
      <c r="AB57" s="308">
        <f>(($AR$57*8.77/760*AI57*14)*$AO$57)*1.03^H$2</f>
        <v>0</v>
      </c>
      <c r="AC57" s="308">
        <f>(($AR$57*8.77/760*AJ57*14)*$AO$57)*1.03^I$2</f>
        <v>0</v>
      </c>
      <c r="AD57" s="308">
        <f>(($AR$57*8.77/760*AK57*14)*$AO$57)*1.03^J$2</f>
        <v>0</v>
      </c>
      <c r="AE57" s="308">
        <f>(($AR$57*8.77/760*AL57*14)*$AO$57)*1.03^K$2</f>
        <v>0</v>
      </c>
      <c r="AF57" s="309">
        <f>SUM(AA57:AC57)</f>
        <v>0</v>
      </c>
      <c r="AG57" s="140"/>
      <c r="AH57" s="297"/>
      <c r="AI57" s="297"/>
      <c r="AJ57" s="297"/>
      <c r="AK57" s="297"/>
      <c r="AL57" s="297"/>
      <c r="AO57" s="297"/>
      <c r="AP57" s="598"/>
      <c r="AQ57" s="31" t="s">
        <v>180</v>
      </c>
      <c r="AR57" s="299"/>
      <c r="AU57" s="200">
        <f>ROUND(((AH57*(52/12)*3.23)/560)*3.23,2)</f>
        <v>0</v>
      </c>
      <c r="AV57" s="136">
        <f>ROUND(((AI57*(52/12)*3.23)/560)*3.23,2)</f>
        <v>0</v>
      </c>
      <c r="AW57" s="136">
        <f>ROUND(((AJ57*(52/12)*3.23)/560)*3.23,2)</f>
        <v>0</v>
      </c>
      <c r="AX57" s="136">
        <f t="shared" ref="AX57:AY57" si="36">ROUND(((AK57*(52/12)*3.23)/560)*3.23,2)</f>
        <v>0</v>
      </c>
      <c r="AY57" s="136">
        <f t="shared" si="36"/>
        <v>0</v>
      </c>
      <c r="AZ57" s="151"/>
    </row>
    <row r="58" spans="2:53" ht="25.5" hidden="1" customHeight="1" outlineLevel="1" x14ac:dyDescent="0.25">
      <c r="B58" s="296"/>
      <c r="C58" s="597" t="s">
        <v>181</v>
      </c>
      <c r="D58" s="210" t="s">
        <v>177</v>
      </c>
      <c r="E58" s="298"/>
      <c r="F58" s="138"/>
      <c r="G58" s="300"/>
      <c r="H58" s="300"/>
      <c r="I58" s="300"/>
      <c r="J58" s="300"/>
      <c r="K58" s="300"/>
      <c r="L58" s="212"/>
      <c r="M58" s="662"/>
      <c r="N58" s="136" cm="1">
        <f t="array" ref="N58">_xlfn.IFS($D$58="Full Year", ROUND((((G58*(52/12)*8.77)/1520)*8.77)*2,2),
$D$58="Fall",ROUND((((G58*(((52/12)*8.77)/1520)*8.77))/2)*2,2),
$D$58="Spring",(ROUND((((G58*(((52/12)*8.77)/1520)*8.77))/2)*2,2)))</f>
        <v>0</v>
      </c>
      <c r="O58" s="136" cm="1">
        <f t="array" ref="O58">_xlfn.IFS($D$58="Full Year", ROUND((((H58*(52/12)*8.77)/1520)*8.77)*2,2),
$D$58="Fall",ROUND((((H58*(((52/12)*8.77)/1520)*8.77))/2)*2,2),
$D$58="Spring",(ROUND((((H58*(((52/12)*8.77)/1520)*8.77))/2)*2,2)))</f>
        <v>0</v>
      </c>
      <c r="P58" s="136" cm="1">
        <f t="array" ref="P58">_xlfn.IFS($D$58="Full Year", ROUND((((I58*(52/12)*8.77)/1520)*8.77)*2,2),
$D$58="Fall",ROUND((((I58*(((52/12)*8.77)/1520)*8.77))/2)*2,2),
$D$58="Spring",(ROUND((((I58*(((52/12)*8.77)/1520)*8.77))/2)*2,2)))</f>
        <v>0</v>
      </c>
      <c r="Q58" s="136" cm="1">
        <f t="array" ref="Q58">_xlfn.IFS($D$58="Full Year", ROUND((((J58*(52/12)*8.77)/1520)*8.77)*2,2),
$D$58="Fall",ROUND((((J58*(((52/12)*8.77)/1520)*8.77))/2)*2,2),
$D$58="Spring",(ROUND((((J58*(((52/12)*8.77)/1520)*8.77))/2)*2,2)))</f>
        <v>0</v>
      </c>
      <c r="R58" s="136" cm="1">
        <f t="array" ref="R58">_xlfn.IFS($D$58="Full Year", ROUND((((K58*(52/12)*8.77)/1520)*8.77)*2,2),
$D$58="Fall",ROUND((((K58*(((52/12)*8.77)/1520)*8.77))/2)*2,2),
$D$58="Spring",(ROUND((((K58*(((52/12)*8.77)/1520)*8.77))/2)*2,2)))</f>
        <v>0</v>
      </c>
      <c r="S58"/>
      <c r="T58" s="302" cm="1">
        <f t="array" ref="T58">ROUND(_xlfn.IFS($D$58="Full year", ((($E$58*8.77/760*G58*38)*$B$58)*1.03^G$2),
$D$58="Fall", ((($E$58*8.77/760*G58*19)*$B$58)*1.03^G$2),
$D$58="Spring",(($E$58*8.77/760*G58*19)*$B$58)*1.03^G$2),0)</f>
        <v>0</v>
      </c>
      <c r="U58" s="302" cm="1">
        <f t="array" ref="U58">ROUND(_xlfn.IFS($D$58="Full year", ((($E$58*8.77/760*H58*38)*$B$58)*1.03^H$2),
$D$58="Fall", ((($E$58*8.77/760*H58*19)*$B$58)*1.03^H$2),
$D$58="Spring",(($E$58*8.77/760*H58*19)*$B$58)*1.03^H$2),0)</f>
        <v>0</v>
      </c>
      <c r="V58" s="302" cm="1">
        <f t="array" ref="V58">ROUND(_xlfn.IFS($D$58="Full year", ((($E$58*8.77/760*I58*38)*$B$58)*1.03^I$2),
$D$58="Fall", ((($E$58*8.77/760*I58*19)*$B$58)*1.03^I$2),
$D$58="Spring",(($E$58*8.77/760*I58*19)*$B$58)*1.03^I$2),0)</f>
        <v>0</v>
      </c>
      <c r="W58" s="302" cm="1">
        <f t="array" ref="W58">ROUND(_xlfn.IFS($D$58="Full year", ((($E$58*8.77/760*J58*38)*$B$58)*1.03^J$2),
$D$58="Fall", ((($E$58*8.77/760*J58*19)*$B$58)*1.03^J$2),
$D$58="Spring",(($E$58*8.77/760*J58*19)*$B$58)*1.03^J$2),0)</f>
        <v>0</v>
      </c>
      <c r="X58" s="302" cm="1">
        <f t="array" ref="X58">ROUND(_xlfn.IFS($D$58="Full year", ((($E$58*8.77/760*K58*38)*$B$58)*1.03^K$2),
$D$58="Fall", ((($E$58*8.77/760*K58*19)*$B$58)*1.03^K$2),
$D$58="Spring",(($E$58*8.77/760*K58*19)*$B$58)*1.03^K$2),0)</f>
        <v>0</v>
      </c>
      <c r="Y58" s="337">
        <f t="shared" si="34"/>
        <v>0</v>
      </c>
      <c r="Z58" s="571">
        <f t="shared" si="35"/>
        <v>0</v>
      </c>
      <c r="AA58" s="569" cm="1">
        <f t="array" ref="AA58">_xlfn.IFS($AQ$58="Full year", ((($AR$58*8.77/760*AH58*38)*$AO$58)*1.03^G$2),
$AQ$58="Fall", ((($AR$58*8.77/760*AH58*19)*$AO$58)*1.03^G$2),
$AQ$58="Spring",(($AR$58*8.77/760*AH58*19)*$AO$58)*1.03^G$2)</f>
        <v>0</v>
      </c>
      <c r="AB58" s="306" cm="1">
        <f t="array" ref="AB58">_xlfn.IFS($AQ$58="Full year", ((($AR$58*8.77/760*AI58*38)*$AO$58)*1.03^H$2),
 $AQ$58="Fall", ((($AR$58*8.77/760*AI58*19)*$AO$58)*1.03^H$2),
$AQ$58="Spring",(($AR$58*8.77/760*AI58*19)*AO$58)*1.03^H$2)</f>
        <v>0</v>
      </c>
      <c r="AC58" s="306" cm="1">
        <f t="array" ref="AC58">_xlfn.IFS($AQ$58="Full year", ((($AR$58*8.77/760*AJ58*38)*$AO$58)*1.03^I$2),
 $AQ$58="Fall", ((($AR$58*8.77/760*AJ58*19)*$AO$58)*1.03^I$2),
$AQ$58="Spring",(($AR$58*8.77/760*AJ58*19)*$AO$58)*1.03^I$2)</f>
        <v>0</v>
      </c>
      <c r="AD58" s="306" cm="1">
        <f t="array" ref="AD58">_xlfn.IFS($AQ$58="Full year", ((($AR$58*8.77/760*AK58*38)*$AO$58)*1.03^J$2),
 $AQ$58="Fall", ((($AR$58*8.77/760*AK58*19)*$AO$58)*1.03^J$2),
$AQ$58="Spring",(($AR$58*8.77/760*AK58*19)*$AO$58)*1.03^J$2)</f>
        <v>0</v>
      </c>
      <c r="AE58" s="306" cm="1">
        <f t="array" ref="AE58">_xlfn.IFS($AQ$58="Full year", ((($AR$58*8.77/760*AL58*38)*$AO$58)*1.03^K$2),
 $AQ$58="Fall", ((($AR$58*8.77/760*AL58*19)*$AO$58)*1.03^K$2),
$AQ$58="Spring",(($AR$58*8.77/760*AL58*19)*$AO$58)*1.03^K$2)</f>
        <v>0</v>
      </c>
      <c r="AF58" s="307">
        <f t="shared" ref="AF58:AF65" si="37">SUM(AA58:AC58)</f>
        <v>0</v>
      </c>
      <c r="AG58" s="140"/>
      <c r="AH58" s="296"/>
      <c r="AI58" s="296"/>
      <c r="AJ58" s="296"/>
      <c r="AK58" s="296"/>
      <c r="AL58" s="296"/>
      <c r="AO58" s="296"/>
      <c r="AP58" s="597" t="s">
        <v>182</v>
      </c>
      <c r="AQ58" s="210" t="s">
        <v>179</v>
      </c>
      <c r="AR58" s="298"/>
      <c r="AU58" s="200" cm="1">
        <f t="array" ref="AU58">_xlfn.IFS($AQ$58="Full Year", ROUND((((AH58*(52/12)*8.77)/1520)*8.77)*2,2),
$AQ$58="Fall", ROUND((((AH58*(((52/12)*8.77)/1520)*8.77))/2)*2,2),
$AQ$58="Spring",(ROUND((((AH58*(((52/12)*8.77)/1520)*8.77))/2)*2,2)))</f>
        <v>0</v>
      </c>
      <c r="AV58" s="136" cm="1">
        <f t="array" ref="AV58">_xlfn.IFS($AQ$58="Full Year", ROUND((((AI58*(52/12)*8.77)/1520)*8.77)*2,2),
$AQ$58="Fall", ROUND((((AI58*(((52/12)*8.77)/1520)*8.77))/2)*2,2),
$AQ$58="Spring",(ROUND((((AI58*(((52/12)*8.77)/1520)*8.77))/2)*2,2)))</f>
        <v>0</v>
      </c>
      <c r="AW58" s="136" cm="1">
        <f t="array" ref="AW58">_xlfn.IFS($AQ$58="Full Year", ROUND((((AJ58*(52/12)*8.77)/1520)*8.77)*2,2),
$AQ$58="Fall", ROUND((((AJ58*(((52/12)*8.77)/1520)*8.77))/2)*2,2),
$AQ$58="Spring",(ROUND((((AJ58*(((52/12)*8.77)/1520)*8.77))/2)*2,2)))</f>
        <v>0</v>
      </c>
      <c r="AX58" s="136" cm="1">
        <f t="array" ref="AX58">_xlfn.IFS($AQ$58="Full Year", ROUND((((AK58*(52/12)*8.77)/1520)*8.77)*2,2),
$AQ$58="Fall", ROUND((((AK58*(((52/12)*8.77)/1520)*8.77))/2)*2,2),
$AQ$58="Spring",(ROUND((((AK58*(((52/12)*8.77)/1520)*8.77))/2)*2,2)))</f>
        <v>0</v>
      </c>
      <c r="AY58" s="136" cm="1">
        <f t="array" ref="AY58">_xlfn.IFS($AQ$58="Full Year", ROUND((((AL58*(52/12)*8.77)/1520)*8.77)*2,2),
$AQ$58="Fall", ROUND((((AL58*(((52/12)*8.77)/1520)*8.77))/2)*2,2),
$AQ$58="Spring",(ROUND((((AL58*(((52/12)*8.77)/1520)*8.77))/2)*2,2)))</f>
        <v>0</v>
      </c>
      <c r="AZ58" s="151"/>
    </row>
    <row r="59" spans="2:53" ht="25.5" hidden="1" customHeight="1" outlineLevel="1" thickBot="1" x14ac:dyDescent="0.3">
      <c r="B59" s="297"/>
      <c r="C59" s="598"/>
      <c r="D59" s="31" t="s">
        <v>180</v>
      </c>
      <c r="E59" s="299"/>
      <c r="F59" s="138"/>
      <c r="G59" s="301"/>
      <c r="H59" s="301"/>
      <c r="I59" s="301"/>
      <c r="J59" s="301"/>
      <c r="K59" s="301"/>
      <c r="L59" s="212"/>
      <c r="M59" s="662"/>
      <c r="N59" s="136">
        <f>ROUND(((G59*(52/12)*3.23)/560)*3.23,2)</f>
        <v>0</v>
      </c>
      <c r="O59" s="136">
        <f>ROUND(((H59*(52/12)*3.23)/560)*3.23,2)</f>
        <v>0</v>
      </c>
      <c r="P59" s="136">
        <f>ROUND(((I59*(52/12)*3.23)/560)*3.23,2)</f>
        <v>0</v>
      </c>
      <c r="Q59" s="136">
        <f t="shared" ref="Q59:R59" si="38">ROUND(((J59*(52/12)*3.23)/560)*3.23,2)</f>
        <v>0</v>
      </c>
      <c r="R59" s="136">
        <f t="shared" si="38"/>
        <v>0</v>
      </c>
      <c r="S59"/>
      <c r="T59" s="303">
        <f>ROUND((($E$59*3.23/560*G59*14)*$B$59)*1.03^G$2,0)</f>
        <v>0</v>
      </c>
      <c r="U59" s="303">
        <f>ROUND((($E$59*3.23/560*H59*14)*$B$59)*1.03^H$2,0)</f>
        <v>0</v>
      </c>
      <c r="V59" s="303">
        <f>ROUND((($E$59*3.23/560*I59*14)*$B$59)*1.03^I$2,0)</f>
        <v>0</v>
      </c>
      <c r="W59" s="303">
        <f>ROUND((($E$59*3.23/560*J59*14)*$B$59)*1.03^J$2,0)</f>
        <v>0</v>
      </c>
      <c r="X59" s="303">
        <f>ROUND((($E$59*3.23/560*K59*14)*$B$59)*1.03^K$2,0)</f>
        <v>0</v>
      </c>
      <c r="Y59" s="339">
        <f t="shared" si="34"/>
        <v>0</v>
      </c>
      <c r="Z59" s="571">
        <f t="shared" si="35"/>
        <v>0</v>
      </c>
      <c r="AA59" s="568">
        <f>(($AR$59*8.77/760*AH59*14)*$AO$59)*1.03^G$2</f>
        <v>0</v>
      </c>
      <c r="AB59" s="308">
        <f>(($AR$59*8.77/760*AI59*14)*$AO$59)*1.03^H$2</f>
        <v>0</v>
      </c>
      <c r="AC59" s="308">
        <f>(($AR$59*8.77/760*AJ59*14)*$AO$59)*1.03^I$2</f>
        <v>0</v>
      </c>
      <c r="AD59" s="308">
        <f>(($AR$59*8.77/760*AK59*14)*$AO$59)*1.03^J$2</f>
        <v>0</v>
      </c>
      <c r="AE59" s="308">
        <f>(($AR$59*8.77/760*AL59*14)*$AO$59)*1.03^K$2</f>
        <v>0</v>
      </c>
      <c r="AF59" s="309">
        <f t="shared" si="37"/>
        <v>0</v>
      </c>
      <c r="AG59" s="140"/>
      <c r="AH59" s="297"/>
      <c r="AI59" s="297"/>
      <c r="AJ59" s="297"/>
      <c r="AK59" s="297"/>
      <c r="AL59" s="297"/>
      <c r="AO59" s="297"/>
      <c r="AP59" s="598"/>
      <c r="AQ59" s="31" t="s">
        <v>180</v>
      </c>
      <c r="AR59" s="299"/>
      <c r="AU59" s="200">
        <f>ROUND(((AH59*(52/12)*3.23)/560)*3.23,2)</f>
        <v>0</v>
      </c>
      <c r="AV59" s="136">
        <f>ROUND(((AI59*(52/12)*3.23)/560)*3.23,2)</f>
        <v>0</v>
      </c>
      <c r="AW59" s="136">
        <f>ROUND(((AJ59*(52/12)*3.23)/560)*3.23,2)</f>
        <v>0</v>
      </c>
      <c r="AX59" s="136">
        <f t="shared" ref="AX59:AY59" si="39">ROUND(((AK59*(52/12)*3.23)/560)*3.23,2)</f>
        <v>0</v>
      </c>
      <c r="AY59" s="136">
        <f t="shared" si="39"/>
        <v>0</v>
      </c>
      <c r="AZ59" s="151"/>
    </row>
    <row r="60" spans="2:53" ht="25.5" hidden="1" customHeight="1" outlineLevel="1" x14ac:dyDescent="0.25">
      <c r="B60" s="296"/>
      <c r="C60" s="597" t="s">
        <v>183</v>
      </c>
      <c r="D60" s="210" t="s">
        <v>177</v>
      </c>
      <c r="E60" s="298"/>
      <c r="F60" s="138"/>
      <c r="G60" s="300"/>
      <c r="H60" s="300"/>
      <c r="I60" s="300"/>
      <c r="J60" s="300"/>
      <c r="K60" s="300"/>
      <c r="L60" s="212"/>
      <c r="M60" s="662"/>
      <c r="N60" s="136" cm="1">
        <f t="array" ref="N60">_xlfn.IFS($D$60="Full Year", ROUND((((G60*(52/12)*8.77)/1520)*8.77)*2,2),
$D$60="Fall", ROUND((((G60*(((52/12)*8.77)/1520)*8.77))/2)*2,2),
$D$60="Spring", (ROUND((((G60*(((52/12)*8.77)/1520)*8.77))/2)*2,2)))</f>
        <v>0</v>
      </c>
      <c r="O60" s="136" cm="1">
        <f t="array" ref="O60">_xlfn.IFS($D$60="Full Year", ROUND((((H60*(52/12)*8.77)/1520)*8.77)*2,2),
$D$60="Fall", ROUND((((H60*(((52/12)*8.77)/1520)*8.77))/2)*2,2),
$D$60="Spring", (ROUND((((H60*(((52/12)*8.77)/1520)*8.77))/2)*2,2)))</f>
        <v>0</v>
      </c>
      <c r="P60" s="136" cm="1">
        <f t="array" ref="P60">_xlfn.IFS($D$60="Full Year", ROUND((((I60*(52/12)*8.77)/1520)*8.77)*2,2),
$D$60="Fall", ROUND((((I60*(((52/12)*8.77)/1520)*8.77))/2)*2,2),
$D$60="Spring", (ROUND((((I60*(((52/12)*8.77)/1520)*8.77))/2)*2,2)))</f>
        <v>0</v>
      </c>
      <c r="Q60" s="136" cm="1">
        <f t="array" ref="Q60">_xlfn.IFS($D$60="Full Year", ROUND((((J60*(52/12)*8.77)/1520)*8.77)*2,2),
$D$60="Fall", ROUND((((J60*(((52/12)*8.77)/1520)*8.77))/2)*2,2),
$D$60="Spring", (ROUND((((J60*(((52/12)*8.77)/1520)*8.77))/2)*2,2)))</f>
        <v>0</v>
      </c>
      <c r="R60" s="136" cm="1">
        <f t="array" ref="R60">_xlfn.IFS($D$60="Full Year", ROUND((((K60*(52/12)*8.77)/1520)*8.77)*2,2),
$D$60="Fall", ROUND((((K60*(((52/12)*8.77)/1520)*8.77))/2)*2,2),
$D$60="Spring", (ROUND((((K60*(((52/12)*8.77)/1520)*8.77))/2)*2,2)))</f>
        <v>0</v>
      </c>
      <c r="S60"/>
      <c r="T60" s="302" cm="1">
        <f t="array" ref="T60">ROUND(_xlfn.IFS($D$60="Full year", ((($E$60*8.77/760*G60*38)*$B$60)*1.03^G$2),
$D$60="Fall", ((($E$60*8.77/760*G60*19)*$B$60)*1.03^G$2),
$D$60="Spring",(($E$60*8.77/760*G60*19)*$B$60)*1.03^G$2),0)</f>
        <v>0</v>
      </c>
      <c r="U60" s="302" cm="1">
        <f t="array" ref="U60">ROUND(_xlfn.IFS($D$60="Full year", ((($E$60*8.77/760*H60*38)*$B$60)*1.03^H$2),
$D$60="Fall", ((($E$60*8.77/760*H60*19)*$B$60)*1.03^H$2),
$D$60="Spring",(($E$60*8.77/760*H60*19)*$B$60)*1.03^H$2),0)</f>
        <v>0</v>
      </c>
      <c r="V60" s="302" cm="1">
        <f t="array" ref="V60">ROUND(_xlfn.IFS($D$60="Full year", ((($E$60*8.77/760*I60*38)*$B$60)*1.03^I$2),
$D$60="Fall", ((($E$60*8.77/760*I60*19)*$B$60)*1.03^I$2),
$D$60="Spring",(($E$60*8.77/760*I60*19)*$B$60)*1.03^I$2),0)</f>
        <v>0</v>
      </c>
      <c r="W60" s="302" cm="1">
        <f t="array" ref="W60">ROUND(_xlfn.IFS($D$60="Full year", ((($E$60*8.77/760*J60*38)*$B$60)*1.03^J$2),
$D$60="Fall", ((($E$60*8.77/760*J60*19)*$B$60)*1.03^J$2),
$D$60="Spring",(($E$60*8.77/760*J60*19)*$B$60)*1.03^J$2),0)</f>
        <v>0</v>
      </c>
      <c r="X60" s="302" cm="1">
        <f t="array" ref="X60">ROUND(_xlfn.IFS($D$60="Full year", ((($E$60*8.77/760*K60*38)*$B$60)*1.03^K$2),
$D$60="Fall", ((($E$60*8.77/760*K60*19)*$B$60)*1.03^K$2),
$D$60="Spring",(($E$60*8.77/760*K60*19)*$B$60)*1.03^K$2),0)</f>
        <v>0</v>
      </c>
      <c r="Y60" s="340">
        <f t="shared" si="34"/>
        <v>0</v>
      </c>
      <c r="Z60" s="571">
        <f t="shared" si="35"/>
        <v>0</v>
      </c>
      <c r="AA60" s="569" cm="1">
        <f t="array" ref="AA60">_xlfn.IFS($AQ$60="Full year", ((($AR$60*8.77/760*AH60*38)*$AO$60)*1.03^G$2),
$AQ$60="Fall", ((($AR$60*8.77/760*AH60*19)*$AO$60)*1.03^G$2),
$AQ$60="Spring",(($AR$60*8.77/760*AH60*19)*AGH$60)*1.03^G$2)</f>
        <v>0</v>
      </c>
      <c r="AB60" s="306" cm="1">
        <f t="array" ref="AB60">_xlfn.IFS($AQ$60="Full year", ((($AR$60*8.77/760*AI60*38)*$AO$60)*1.03^H$2),
 $AQ$60="Fall", ((($AR$60*8.77/760*AI60*19)*$AO$60)*1.03^H$2),
$AQ$60="Spring",(($AR$60*8.77/760*AI60*19)*AO$60)*1.03^H$2)</f>
        <v>0</v>
      </c>
      <c r="AC60" s="306" cm="1">
        <f t="array" ref="AC60">_xlfn.IFS($AQ$60="Full year", ((($AR$60*8.77/760*AJ60*38)*$AO$60)*1.03^I$2),
 $AQ$60="Fall", ((($AR$60*8.77/760*AJ60*19)*$AO$60)*1.03^I$2),
$AQ$60="Spring",(($AR$60*8.77/760*AJ60*19)*$AO$60)*1.03^I$2)</f>
        <v>0</v>
      </c>
      <c r="AD60" s="306" cm="1">
        <f t="array" ref="AD60">_xlfn.IFS($AQ$60="Full year", ((($AR$60*8.77/760*AK60*38)*$AO$60)*1.03^J$2),
 $AQ$60="Fall", ((($AR$60*8.77/760*AK60*19)*$AO$60)*1.03^J$2),
$AQ$60="Spring",(($AR$60*8.77/760*AK60*19)*$AO$60)*1.03^J$2)</f>
        <v>0</v>
      </c>
      <c r="AE60" s="306" cm="1">
        <f t="array" ref="AE60">_xlfn.IFS($AQ$60="Full year", ((($AR$60*8.77/760*AL60*38)*$AO$60)*1.03^K$2),
 $AQ$60="Fall", ((($AR$60*8.77/760*AL60*19)*$AO$60)*1.03^K$2),
$AQ$60="Spring",(($AR$60*8.77/760*AL60*19)*$AO$60)*1.03^K$2)</f>
        <v>0</v>
      </c>
      <c r="AF60" s="307">
        <f t="shared" si="37"/>
        <v>0</v>
      </c>
      <c r="AG60" s="140"/>
      <c r="AH60" s="296"/>
      <c r="AI60" s="296"/>
      <c r="AJ60" s="296"/>
      <c r="AK60" s="296"/>
      <c r="AL60" s="296"/>
      <c r="AO60" s="296"/>
      <c r="AP60" s="597" t="s">
        <v>183</v>
      </c>
      <c r="AQ60" s="210" t="s">
        <v>179</v>
      </c>
      <c r="AR60" s="298"/>
      <c r="AU60" s="200" cm="1">
        <f t="array" ref="AU60">_xlfn.IFS($AQ$60="Full Year",ROUND((((AH60*(52/12)*8.77)/1520)*8.77)*2,2),
$AQ$60="Fall",ROUND((((AH60*(((52/12)*8.77)/1520)*8.77))/2)*2,2),
$AQ$60="Spring",(ROUND((((AH60*(((52/12)*8.77)/1520)*8.77))/2)*2,2)))</f>
        <v>0</v>
      </c>
      <c r="AV60" s="136" cm="1">
        <f t="array" ref="AV60">_xlfn.IFS($AQ$60="Full Year",ROUND((((AI60*(52/12)*8.77)/1520)*8.77)*2,2),
$AQ$60="Fall",ROUND((((AI60*(((52/12)*8.77)/1520)*8.77))/2)*2,2),
$AQ$60="Spring",(ROUND((((AI60*(((52/12)*8.77)/1520)*8.77))/2)*2,2)))</f>
        <v>0</v>
      </c>
      <c r="AW60" s="136" cm="1">
        <f t="array" ref="AW60">_xlfn.IFS($AQ$60="Full Year",ROUND((((AJ60*(52/12)*8.77)/1520)*8.77)*2,2),
$AQ$60="Fall",ROUND((((AJ60*(((52/12)*8.77)/1520)*8.77))/2)*2,2),
$AQ$60="Spring",(ROUND((((AJ60*(((52/12)*8.77)/1520)*8.77))/2)*2,2)))</f>
        <v>0</v>
      </c>
      <c r="AX60" s="136" cm="1">
        <f t="array" ref="AX60">_xlfn.IFS($AQ$60="Full Year",ROUND((((AK60*(52/12)*8.77)/1520)*8.77)*2,2),
$AQ$60="Fall",ROUND((((AK60*(((52/12)*8.77)/1520)*8.77))/2)*2,2),
$AQ$60="Spring",(ROUND((((AK60*(((52/12)*8.77)/1520)*8.77))/2)*2,2)))</f>
        <v>0</v>
      </c>
      <c r="AY60" s="136" cm="1">
        <f t="array" ref="AY60">_xlfn.IFS($AQ$60="Full Year",ROUND((((AL60*(52/12)*8.77)/1520)*8.77)*2,2),
$AQ$60="Fall",ROUND((((AL60*(((52/12)*8.77)/1520)*8.77))/2)*2,2),
$AQ$60="Spring",(ROUND((((AL60*(((52/12)*8.77)/1520)*8.77))/2)*2,2)))</f>
        <v>0</v>
      </c>
      <c r="AZ60" s="151"/>
    </row>
    <row r="61" spans="2:53" ht="25.5" hidden="1" customHeight="1" outlineLevel="1" thickBot="1" x14ac:dyDescent="0.3">
      <c r="B61" s="297"/>
      <c r="C61" s="597"/>
      <c r="D61" s="30" t="s">
        <v>180</v>
      </c>
      <c r="E61" s="299"/>
      <c r="F61" s="138"/>
      <c r="G61" s="301"/>
      <c r="H61" s="301"/>
      <c r="I61" s="301"/>
      <c r="J61" s="301"/>
      <c r="K61" s="301"/>
      <c r="L61" s="212"/>
      <c r="M61" s="662"/>
      <c r="N61" s="136">
        <f>ROUND(((G61*(52/12)*3.23)/560)*3.23,2)</f>
        <v>0</v>
      </c>
      <c r="O61" s="136">
        <f>ROUND(((H61*(52/12)*3.23)/560)*3.23,2)</f>
        <v>0</v>
      </c>
      <c r="P61" s="136">
        <f>ROUND(((I61*(52/12)*3.23)/560)*3.23,2)</f>
        <v>0</v>
      </c>
      <c r="Q61" s="136">
        <f t="shared" ref="Q61:R61" si="40">ROUND(((J61*(52/12)*3.23)/560)*3.23,2)</f>
        <v>0</v>
      </c>
      <c r="R61" s="136">
        <f t="shared" si="40"/>
        <v>0</v>
      </c>
      <c r="S61"/>
      <c r="T61" s="303">
        <f>ROUND((($E$61*3.23/560*G61*14)*$B$61)*1.03^G$2,0)</f>
        <v>0</v>
      </c>
      <c r="U61" s="303">
        <f>ROUND((($E$61*3.23/560*H61*14)*$B$61)*1.03^H$2,0)</f>
        <v>0</v>
      </c>
      <c r="V61" s="303">
        <f>ROUND((($E$61*3.23/560*I61*14)*$B$61)*1.03^I$2,0)</f>
        <v>0</v>
      </c>
      <c r="W61" s="303">
        <f>ROUND((($E$61*3.23/560*J61*14)*$B$61)*1.03^J$2,0)</f>
        <v>0</v>
      </c>
      <c r="X61" s="303">
        <f>ROUND((($E$61*3.23/560*K61*14)*$B$61)*1.03^K$2,0)</f>
        <v>0</v>
      </c>
      <c r="Y61" s="338">
        <f t="shared" si="34"/>
        <v>0</v>
      </c>
      <c r="Z61" s="571">
        <f t="shared" si="35"/>
        <v>0</v>
      </c>
      <c r="AA61" s="568">
        <f>(($AR$61*8.77/760*AH61*14)*$AO$61)*1.03^G$2</f>
        <v>0</v>
      </c>
      <c r="AB61" s="308">
        <f>(($AR$61*8.77/760*AI61*14)*$AO$61)*1.03^H$2</f>
        <v>0</v>
      </c>
      <c r="AC61" s="308">
        <f>(($AR$61*8.77/760*AJ61*14)*$AO$61)*1.03^I$2</f>
        <v>0</v>
      </c>
      <c r="AD61" s="308">
        <f>(($AR$61*8.77/760*AK61*14)*$AO$61)*1.03^J$2</f>
        <v>0</v>
      </c>
      <c r="AE61" s="308">
        <f>(($AR$61*8.77/760*AL61*14)*$AO$61)*1.03^K$2</f>
        <v>0</v>
      </c>
      <c r="AF61" s="309">
        <f t="shared" si="37"/>
        <v>0</v>
      </c>
      <c r="AG61" s="140"/>
      <c r="AH61" s="297"/>
      <c r="AI61" s="297"/>
      <c r="AJ61" s="297"/>
      <c r="AK61" s="297"/>
      <c r="AL61" s="297"/>
      <c r="AO61" s="297"/>
      <c r="AP61" s="597"/>
      <c r="AQ61" s="30" t="s">
        <v>180</v>
      </c>
      <c r="AR61" s="299"/>
      <c r="AU61" s="200">
        <f>ROUND(((AH61*(52/12)*3.23)/560)*3.23,2)</f>
        <v>0</v>
      </c>
      <c r="AV61" s="136">
        <f>ROUND(((AI61*(52/12)*3.23)/560)*3.23,2)</f>
        <v>0</v>
      </c>
      <c r="AW61" s="136">
        <f>ROUND(((AJ61*(52/12)*3.23)/560)*3.23,2)</f>
        <v>0</v>
      </c>
      <c r="AX61" s="136">
        <f t="shared" ref="AX61:AY61" si="41">ROUND(((AK61*(52/12)*3.23)/560)*3.23,2)</f>
        <v>0</v>
      </c>
      <c r="AY61" s="136">
        <f t="shared" si="41"/>
        <v>0</v>
      </c>
      <c r="AZ61" s="151"/>
    </row>
    <row r="62" spans="2:53" ht="25.5" hidden="1" customHeight="1" outlineLevel="1" x14ac:dyDescent="0.25">
      <c r="B62" s="300"/>
      <c r="C62" s="599" t="s">
        <v>184</v>
      </c>
      <c r="D62" s="211" t="s">
        <v>177</v>
      </c>
      <c r="E62" s="298"/>
      <c r="F62" s="139"/>
      <c r="G62" s="300"/>
      <c r="H62" s="300"/>
      <c r="I62" s="300"/>
      <c r="J62" s="300"/>
      <c r="K62" s="300"/>
      <c r="L62" s="212"/>
      <c r="M62" s="662"/>
      <c r="N62" s="137" cm="1">
        <f t="array" ref="N62">_xlfn.IFS($D$62="Full Year", ROUND((((G62*(52/12)*8.77)/1520)*8.77)*2,2),
$D$62="Fall",ROUND((((G62*(((52/12)*8.77)/1520)*8.77))/2)*2,2),
$D$62="Spring",(ROUND((((G62*(((52/12)*8.77)/1520)*8.77))/2)*2,2)))</f>
        <v>0</v>
      </c>
      <c r="O62" s="137" cm="1">
        <f t="array" ref="O62">_xlfn.IFS($D$62="Full Year", ROUND((((H62*(52/12)*8.77)/1520)*8.77)*2,2),
$D$62="Fall",ROUND((((H62*(((52/12)*8.77)/1520)*8.77))/2)*2,2),
$D$62="Spring",(ROUND((((H62*(((52/12)*8.77)/1520)*8.77))/2)*2,2)))</f>
        <v>0</v>
      </c>
      <c r="P62" s="137" cm="1">
        <f t="array" ref="P62">_xlfn.IFS($D$62="Full Year", ROUND((((I62*(52/12)*8.77)/1520)*8.77)*2,2),
$D$62="Fall",ROUND((((I62*(((52/12)*8.77)/1520)*8.77))/2)*2,2),
$D$62="Spring",(ROUND((((I62*(((52/12)*8.77)/1520)*8.77))/2)*2,2)))</f>
        <v>0</v>
      </c>
      <c r="Q62" s="137" cm="1">
        <f t="array" ref="Q62">_xlfn.IFS($D$62="Full Year", ROUND((((J62*(52/12)*8.77)/1520)*8.77)*2,2),
$D$62="Fall",ROUND((((J62*(((52/12)*8.77)/1520)*8.77))/2)*2,2),
$D$62="Spring",(ROUND((((J62*(((52/12)*8.77)/1520)*8.77))/2)*2,2)))</f>
        <v>0</v>
      </c>
      <c r="R62" s="137" cm="1">
        <f t="array" ref="R62">_xlfn.IFS($D$62="Full Year", ROUND((((K62*(52/12)*8.77)/1520)*8.77)*2,2),
$D$62="Fall",ROUND((((K62*(((52/12)*8.77)/1520)*8.77))/2)*2,2),
$D$62="Spring",(ROUND((((K62*(((52/12)*8.77)/1520)*8.77))/2)*2,2)))</f>
        <v>0</v>
      </c>
      <c r="S62"/>
      <c r="T62" s="302" cm="1">
        <f t="array" ref="T62">ROUND(_xlfn.IFS($D$62="Full year", ((($E$62*8.77/760*G62*38)*$B$62)*1.03^G$2),
$D$62="Fall", ((($E$62*8.77/760*G62*19)*$B$62)*1.03^G$2),
$D$62="Spring",(($E$62*8.77/760*G62*19)*$B$62)*1.03^G$2),0)</f>
        <v>0</v>
      </c>
      <c r="U62" s="302" cm="1">
        <f t="array" ref="U62">ROUND(_xlfn.IFS($D$62="Full year", ((($E$62*8.77/760*H62*38)*$B$62)*1.03^H$2),
$D$62="Fall", ((($E$62*8.77/760*H62*19)*$B$62)*1.03^H$2),
$D$62="Spring",(($E$62*8.77/760*H62*19)*$B$62)*1.03^H$2),0)</f>
        <v>0</v>
      </c>
      <c r="V62" s="302" cm="1">
        <f t="array" ref="V62">ROUND(_xlfn.IFS($D$62="Full year", ((($E$62*8.77/760*I62*38)*$B$62)*1.03^I$2),
$D$62="Fall", ((($E$62*8.77/760*I62*19)*$B$62)*1.03^I$2),
$D$62="Spring",(($E$62*8.77/760*I62*19)*$B$62)*1.03^I$2),0)</f>
        <v>0</v>
      </c>
      <c r="W62" s="302" cm="1">
        <f t="array" ref="W62">ROUND(_xlfn.IFS($D$62="Full year", ((($E$62*8.77/760*J62*38)*$B$62)*1.03^J$2),
$D$62="Fall", ((($E$62*8.77/760*J62*19)*$B$62)*1.03^J$2),
$D$62="Spring",(($E$62*8.77/760*J62*19)*$B$62)*1.03^J$2),0)</f>
        <v>0</v>
      </c>
      <c r="X62" s="302" cm="1">
        <f t="array" ref="X62">ROUND(_xlfn.IFS($D$62="Full year", ((($E$62*8.77/760*K62*38)*$B$62)*1.03^K$2),
$D$62="Fall", ((($E$62*8.77/760*K62*19)*$B$62)*1.03^K$2),
$D$62="Spring",(($E$62*8.77/760*K62*19)*$B$62)*1.03^K$2),0)</f>
        <v>0</v>
      </c>
      <c r="Y62" s="337">
        <f t="shared" si="34"/>
        <v>0</v>
      </c>
      <c r="Z62" s="571">
        <f t="shared" si="35"/>
        <v>0</v>
      </c>
      <c r="AA62" s="569" cm="1">
        <f t="array" ref="AA62">_xlfn.IFS($AQ$62="Full year", ((($AR$62*8.77/760*AH62*38)*$AO$62)*1.03^G$2),
$AQ$62="Fall", ((($AR$62*8.77/760*AH62*19)*$AO$62)*1.03^G$2),
$AQ$62="Spring",(($AR$62*8.77/760*AH62*19)*AGH$62)*1.03^G$2)</f>
        <v>0</v>
      </c>
      <c r="AB62" s="306" cm="1">
        <f t="array" ref="AB62">_xlfn.IFS($AQ$62="Full year", ((($AR$62*8.77/760*AI62*38)*$AO$62)*1.03^H$2),
 $AQ$62="Fall", ((($AR$62*8.77/760*AI62*19)*$AO$62)*1.03^H$2),
$AQ$62="Spring",(($AR$62*8.77/760*AI62*19)*AO$62)*1.03^H$2)</f>
        <v>0</v>
      </c>
      <c r="AC62" s="306" cm="1">
        <f t="array" ref="AC62">_xlfn.IFS($AQ$62="Full year", ((($AR$62*8.77/760*AJ62*38)*$AO$62)*1.03^I$2),
 $AQ$62="Fall", ((($AR$62*8.77/760*AJ62*19)*$AO$62)*1.03^I$2),
$AQ$62="Spring",(($AR$62*8.77/760*AJ62*19)*$AO$62)*1.03^I$2)</f>
        <v>0</v>
      </c>
      <c r="AD62" s="306" cm="1">
        <f t="array" ref="AD62">_xlfn.IFS($AQ$62="Full year", ((($AR$62*8.77/760*AK62*38)*$AO$62)*1.03^J$2),
 $AQ$62="Fall", ((($AR$62*8.77/760*AK62*19)*$AO$62)*1.03^J$2),
$AQ$62="Spring",(($AR$62*8.77/760*AK62*19)*$AO$62)*1.03^J$2)</f>
        <v>0</v>
      </c>
      <c r="AE62" s="306" cm="1">
        <f t="array" ref="AE62">_xlfn.IFS($AQ$62="Full year", ((($AR$62*8.77/760*AL62*38)*$AO$62)*1.03^K$2),
 $AQ$62="Fall", ((($AR$62*8.77/760*AL62*19)*$AO$62)*1.03^K$2),
$AQ$62="Spring",(($AR$62*8.77/760*AL62*19)*$AO$62)*1.03^K$2)</f>
        <v>0</v>
      </c>
      <c r="AF62" s="307">
        <f t="shared" si="37"/>
        <v>0</v>
      </c>
      <c r="AG62" s="140"/>
      <c r="AH62" s="296"/>
      <c r="AI62" s="296"/>
      <c r="AJ62" s="296"/>
      <c r="AK62" s="296"/>
      <c r="AL62" s="296"/>
      <c r="AO62" s="300"/>
      <c r="AP62" s="599" t="s">
        <v>184</v>
      </c>
      <c r="AQ62" s="211" t="s">
        <v>179</v>
      </c>
      <c r="AR62" s="298"/>
      <c r="AU62" s="201" cm="1">
        <f t="array" ref="AU62">_xlfn.IFS($AQ$62="Full Year",ROUND((((AH62*(52/12)*8.77)/1520)*8.77)*2,2),
$AQ$62="Fall",ROUND((((AH62*(((52/12)*8.77)/1520)*8.77))/2)*2,2),
$AQ$62="Spring",(ROUND((((AH62*(((52/12)*8.77)/1520)*8.77))/2)*2,2)))</f>
        <v>0</v>
      </c>
      <c r="AV62" s="137" cm="1">
        <f t="array" ref="AV62">_xlfn.IFS($AQ$62="Full Year",ROUND((((AI62*(52/12)*8.77)/1520)*8.77)*2,2),
$AQ$62="Fall",ROUND((((AI62*(((52/12)*8.77)/1520)*8.77))/2)*2,2),
$AQ$62="Spring",(ROUND((((AI62*(((52/12)*8.77)/1520)*8.77))/2)*2,2)))</f>
        <v>0</v>
      </c>
      <c r="AW62" s="137" cm="1">
        <f t="array" ref="AW62">_xlfn.IFS($AQ$62="Full Year",ROUND((((AJ62*(52/12)*8.77)/1520)*8.77)*2,2),
$AQ$62="Fall",ROUND((((AJ62*(((52/12)*8.77)/1520)*8.77))/2)*2,2),
$AQ$62="Spring",(ROUND((((AJ62*(((52/12)*8.77)/1520)*8.77))/2)*2,2)))</f>
        <v>0</v>
      </c>
      <c r="AX62" s="137" cm="1">
        <f t="array" ref="AX62">_xlfn.IFS($AQ$62="Full Year",ROUND((((AK62*(52/12)*8.77)/1520)*8.77)*2,2),
$AQ$62="Fall",ROUND((((AK62*(((52/12)*8.77)/1520)*8.77))/2)*2,2),
$AQ$62="Spring",(ROUND((((AK62*(((52/12)*8.77)/1520)*8.77))/2)*2,2)))</f>
        <v>0</v>
      </c>
      <c r="AY62" s="137" cm="1">
        <f t="array" ref="AY62">_xlfn.IFS($AQ$62="Full Year",ROUND((((AL62*(52/12)*8.77)/1520)*8.77)*2,2),
$AQ$62="Fall",ROUND((((AL62*(((52/12)*8.77)/1520)*8.77))/2)*2,2),
$AQ$62="Spring",(ROUND((((AL62*(((52/12)*8.77)/1520)*8.77))/2)*2,2)))</f>
        <v>0</v>
      </c>
      <c r="AZ62" s="151"/>
    </row>
    <row r="63" spans="2:53" ht="25.5" hidden="1" customHeight="1" outlineLevel="1" thickBot="1" x14ac:dyDescent="0.3">
      <c r="B63" s="297"/>
      <c r="C63" s="600"/>
      <c r="D63" s="30" t="s">
        <v>180</v>
      </c>
      <c r="E63" s="299"/>
      <c r="F63" s="138"/>
      <c r="G63" s="301"/>
      <c r="H63" s="301"/>
      <c r="I63" s="301"/>
      <c r="J63" s="301"/>
      <c r="K63" s="301"/>
      <c r="L63" s="212"/>
      <c r="M63" s="662"/>
      <c r="N63" s="136">
        <f>ROUND(((G63*(52/12)*3.23)/560)*3.23,2)</f>
        <v>0</v>
      </c>
      <c r="O63" s="136">
        <f>ROUND(((H63*(52/12)*3.23)/560)*3.23,2)</f>
        <v>0</v>
      </c>
      <c r="P63" s="136">
        <f>ROUND(((I63*(52/12)*3.23)/560)*3.23,2)</f>
        <v>0</v>
      </c>
      <c r="Q63" s="136">
        <f t="shared" ref="Q63:R63" si="42">ROUND(((J63*(52/12)*3.23)/560)*3.23,2)</f>
        <v>0</v>
      </c>
      <c r="R63" s="136">
        <f t="shared" si="42"/>
        <v>0</v>
      </c>
      <c r="S63"/>
      <c r="T63" s="303">
        <f>ROUND((($E$63*3.23/560*G63*14)*$B$63)*1.03^G$2,0)</f>
        <v>0</v>
      </c>
      <c r="U63" s="303">
        <f>ROUND((($E$63*3.23/560*H63*14)*$B$63)*1.03^H$2,0)</f>
        <v>0</v>
      </c>
      <c r="V63" s="303">
        <f>ROUND((($E$63*3.23/560*I63*14)*$B$63)*1.03^I$2,0)</f>
        <v>0</v>
      </c>
      <c r="W63" s="303">
        <f>ROUND((($E$63*3.23/560*J63*14)*$B$63)*1.03^J$2,0)</f>
        <v>0</v>
      </c>
      <c r="X63" s="303">
        <f>ROUND((($E$63*3.23/560*K63*14)*$B$63)*1.03^K$2,0)</f>
        <v>0</v>
      </c>
      <c r="Y63" s="339">
        <f t="shared" si="34"/>
        <v>0</v>
      </c>
      <c r="Z63" s="571">
        <f t="shared" si="35"/>
        <v>0</v>
      </c>
      <c r="AA63" s="568">
        <f>(($AR$63*8.77/760*AH63*14)*$AO$63)*1.03^G$2</f>
        <v>0</v>
      </c>
      <c r="AB63" s="308">
        <f>(($AR$63*8.77/760*AI63*14)*$AO$63)*1.03^H$2</f>
        <v>0</v>
      </c>
      <c r="AC63" s="308">
        <f>(($AR$63*8.77/760*AJ63*14)*$AO$63)*1.03^I$2</f>
        <v>0</v>
      </c>
      <c r="AD63" s="308">
        <f>(($AR$63*8.77/760*AK63*14)*$AO$63)*1.03^J$2</f>
        <v>0</v>
      </c>
      <c r="AE63" s="308">
        <f>(($AR$63*8.77/760*AL63*14)*$AO$63)*1.03^K$2</f>
        <v>0</v>
      </c>
      <c r="AF63" s="309">
        <f t="shared" si="37"/>
        <v>0</v>
      </c>
      <c r="AG63" s="140"/>
      <c r="AH63" s="297"/>
      <c r="AI63" s="297"/>
      <c r="AJ63" s="297"/>
      <c r="AK63" s="297"/>
      <c r="AL63" s="297"/>
      <c r="AO63" s="297"/>
      <c r="AP63" s="600"/>
      <c r="AQ63" s="30" t="s">
        <v>180</v>
      </c>
      <c r="AR63" s="299"/>
      <c r="AU63" s="200">
        <f>ROUND(((AH63*(52/12)*3.23)/560)*3.23,2)</f>
        <v>0</v>
      </c>
      <c r="AV63" s="136">
        <f>ROUND(((AI63*(52/12)*3.23)/560)*3.23,2)</f>
        <v>0</v>
      </c>
      <c r="AW63" s="136">
        <f>ROUND(((AJ63*(52/12)*3.23)/560)*3.23,2)</f>
        <v>0</v>
      </c>
      <c r="AX63" s="136">
        <f t="shared" ref="AX63:AY63" si="43">ROUND(((AK63*(52/12)*3.23)/560)*3.23,2)</f>
        <v>0</v>
      </c>
      <c r="AY63" s="136">
        <f t="shared" si="43"/>
        <v>0</v>
      </c>
      <c r="AZ63" s="151"/>
    </row>
    <row r="64" spans="2:53" ht="25.5" hidden="1" customHeight="1" outlineLevel="1" x14ac:dyDescent="0.25">
      <c r="B64" s="300"/>
      <c r="C64" s="601" t="s">
        <v>185</v>
      </c>
      <c r="D64" s="211" t="s">
        <v>177</v>
      </c>
      <c r="E64" s="298"/>
      <c r="F64" s="139"/>
      <c r="G64" s="300"/>
      <c r="H64" s="300"/>
      <c r="I64" s="300"/>
      <c r="J64" s="300"/>
      <c r="K64" s="300"/>
      <c r="L64" s="212"/>
      <c r="M64" s="662"/>
      <c r="N64" s="137" cm="1">
        <f t="array" ref="N64">_xlfn.IFS($D$64="Full Year", ROUND((((G64*(52/12)*8.77)/1520)*8.77)*2,2),
 $D$64="Fall",ROUND((((G64*(((52/12)*8.77)/1520)*8.77))/2)*2,2),
$D$64="Spring",(ROUND((((G64*(((52/12)*8.77)/1520)*8.77))/2)*2,2)))</f>
        <v>0</v>
      </c>
      <c r="O64" s="137" cm="1">
        <f t="array" ref="O64">_xlfn.IFS($D$64="Full Year", ROUND((((H64*(52/12)*8.77)/1520)*8.77)*2,2),
 $D$64="Fall",ROUND((((H64*(((52/12)*8.77)/1520)*8.77))/2)*2,2),
$D$64="Spring",(ROUND((((H64*(((52/12)*8.77)/1520)*8.77))/2)*2,2)))</f>
        <v>0</v>
      </c>
      <c r="P64" s="137" cm="1">
        <f t="array" ref="P64">_xlfn.IFS($D$64="Full Year", ROUND((((I64*(52/12)*8.77)/1520)*8.77)*2,2),
 $D$64="Fall",ROUND((((I64*(((52/12)*8.77)/1520)*8.77))/2)*2,2),
$D$64="Spring",(ROUND((((I64*(((52/12)*8.77)/1520)*8.77))/2)*2,2)))</f>
        <v>0</v>
      </c>
      <c r="Q64" s="137" cm="1">
        <f t="array" ref="Q64">_xlfn.IFS($D$64="Full Year", ROUND((((J64*(52/12)*8.77)/1520)*8.77)*2,2),
 $D$64="Fall",ROUND((((J64*(((52/12)*8.77)/1520)*8.77))/2)*2,2),
$D$64="Spring",(ROUND((((J64*(((52/12)*8.77)/1520)*8.77))/2)*2,2)))</f>
        <v>0</v>
      </c>
      <c r="R64" s="137" cm="1">
        <f t="array" ref="R64">_xlfn.IFS($D$64="Full Year", ROUND((((K64*(52/12)*8.77)/1520)*8.77)*2,2),
 $D$64="Fall",ROUND((((K64*(((52/12)*8.77)/1520)*8.77))/2)*2,2),
$D$64="Spring",(ROUND((((K64*(((52/12)*8.77)/1520)*8.77))/2)*2,2)))</f>
        <v>0</v>
      </c>
      <c r="S64"/>
      <c r="T64" s="302" cm="1">
        <f t="array" ref="T64">ROUND(_xlfn.IFS($D$64="Full year", ((($E$64*8.77/760*G64*38)*$B$64)*1.03^G$2),
$D$64="Fall", ((($E$64*8.77/760*G64*19)*$B$64)*1.03^G$2),
$D$64="Spring",(($E$64*8.77/760*G64*19)*$B$64)*1.03^G$2),0)</f>
        <v>0</v>
      </c>
      <c r="U64" s="302" cm="1">
        <f t="array" ref="U64">ROUND(_xlfn.IFS($D$64="Full year", ((($E$64*8.77/760*H64*38)*$B$64)*1.03^H$2),
$D$64="Fall", ((($E$64*8.77/760*H64*19)*$B$64)*1.03^H$2),
$D$64="Spring",(($E$64*8.77/760*H64*19)*$B$64)*1.03^H$2),0)</f>
        <v>0</v>
      </c>
      <c r="V64" s="302" cm="1">
        <f t="array" ref="V64">ROUND(_xlfn.IFS($D$64="Full year", ((($E$64*8.77/760*I64*38)*$B$64)*1.03^I$2),
$D$64="Fall", ((($E$64*8.77/760*I64*19)*$B$64)*1.03^I$2),
$D$64="Spring",(($E$64*8.77/760*I64*19)*$B$64)*1.03^I$2),0)</f>
        <v>0</v>
      </c>
      <c r="W64" s="302" cm="1">
        <f t="array" ref="W64">ROUND(_xlfn.IFS($D$64="Full year", ((($E$64*8.77/760*J64*38)*$B$64)*1.03^J$2),
$D$64="Fall", ((($E$64*8.77/760*J64*19)*$B$64)*1.03^J$2),
$D$64="Spring",(($E$64*8.77/760*J64*19)*$B$64)*1.03^J$2),0)</f>
        <v>0</v>
      </c>
      <c r="X64" s="302" cm="1">
        <f t="array" ref="X64">ROUND(_xlfn.IFS($D$64="Full year", ((($E$64*8.77/760*K64*38)*$B$64)*1.03^K$2),
$D$64="Fall", ((($E$64*8.77/760*K64*19)*$B$64)*1.03^K$2),
$D$64="Spring",(($E$64*8.77/760*K64*19)*$B$64)*1.03^K$2),0)</f>
        <v>0</v>
      </c>
      <c r="Y64" s="340">
        <f t="shared" si="34"/>
        <v>0</v>
      </c>
      <c r="Z64" s="571">
        <f t="shared" si="35"/>
        <v>0</v>
      </c>
      <c r="AA64" s="569" cm="1">
        <f t="array" ref="AA64">_xlfn.IFS($AQ$64="Full year", ((($AR$64*8.77/760*AH64*38)*$AO$64)*1.03^G$2),
$AQ$64="Fall", ((($AR$64*8.77/760*AH64*19)*$AO$64)*1.03^G$2),
$AQ$64="Spring",(($AR$64*8.77/760*AH64*19)*AO$64)*1.03^G$2)</f>
        <v>0</v>
      </c>
      <c r="AB64" s="306" cm="1">
        <f t="array" ref="AB64">_xlfn.IFS($AQ$64="Full year", ((($AR$64*8.77/760*AI64*38)*$AO$64)*1.03^H$2),
 $AQ$64="Fall", ((($AR$64*8.77/760*AI64*19)*$AO$64)*1.03^H$2),
$AQ$64="Spring",(($AR$64*8.77/760*AI64*19)*AO$64)*1.03^H$2)</f>
        <v>0</v>
      </c>
      <c r="AC64" s="306" cm="1">
        <f t="array" ref="AC64">_xlfn.IFS($AQ$64="Full year", ((($AR$64*8.77/760*AJ64*38)*$AO$64)*1.03^I$2),
 $AQ$64="Fall", ((($AR$64*8.77/760*AJ64*19)*$AO$64)*1.03^I$2),
$AQ$64="Spring",(($AR$64*8.77/760*AJ64*19)*$AO$64)*1.03^I$2)</f>
        <v>0</v>
      </c>
      <c r="AD64" s="306" cm="1">
        <f t="array" ref="AD64">_xlfn.IFS($AQ$64="Full year", ((($AR$64*8.77/760*AK64*38)*$AO$64)*1.03^J$2),
 $AQ$64="Fall", ((($AR$64*8.77/760*AK64*19)*$AO$64)*1.03^J$2),
$AQ$64="Spring",(($AR$64*8.77/760*AK64*19)*$AO$64)*1.03^J$2)</f>
        <v>0</v>
      </c>
      <c r="AE64" s="306" cm="1">
        <f t="array" ref="AE64">_xlfn.IFS($AQ$64="Full year", ((($AR$64*8.77/760*AL64*38)*$AO$64)*1.03^K$2),
 $AQ$64="Fall", ((($AR$64*8.77/760*AL64*19)*$AO$64)*1.03^K$2),
$AQ$64="Spring",(($AR$64*8.77/760*AL64*19)*$AO$64)*1.03^K$2)</f>
        <v>0</v>
      </c>
      <c r="AF64" s="307">
        <f t="shared" si="37"/>
        <v>0</v>
      </c>
      <c r="AG64" s="140"/>
      <c r="AH64" s="296"/>
      <c r="AI64" s="296"/>
      <c r="AJ64" s="296"/>
      <c r="AK64" s="296"/>
      <c r="AL64" s="296"/>
      <c r="AO64" s="300"/>
      <c r="AP64" s="601" t="s">
        <v>185</v>
      </c>
      <c r="AQ64" s="211" t="s">
        <v>179</v>
      </c>
      <c r="AR64" s="298"/>
      <c r="AU64" s="201" cm="1">
        <f t="array" ref="AU64">_xlfn.IFS($AQ$64="Full Year",ROUND((((AH64*(52/12)*8.77)/1520)*8.77)*2,2),
$AQ$64="Fall",ROUND((((AH64*(((52/12)*8.77)/1520)*8.77))/2)*2,2),
$AQ$64="Spring",(ROUND((((AH64*(((52/12)*8.77)/1520)*8.77))/2)*2,2)))</f>
        <v>0</v>
      </c>
      <c r="AV64" s="137" cm="1">
        <f t="array" ref="AV64">_xlfn.IFS($AQ$64="Full Year",ROUND((((AI64*(52/12)*8.77)/1520)*8.77)*2,2),
$AQ$64="Fall",ROUND((((AI64*(((52/12)*8.77)/1520)*8.77))/2)*2,2),
$AQ$64="Spring",(ROUND((((AI64*(((52/12)*8.77)/1520)*8.77))/2)*2,2)))</f>
        <v>0</v>
      </c>
      <c r="AW64" s="137" cm="1">
        <f t="array" ref="AW64">_xlfn.IFS($AQ$64="Full Year",ROUND((((AJ64*(52/12)*8.77)/1520)*8.77)*2,2),
$AQ$64="Fall",ROUND((((AJ64*(((52/12)*8.77)/1520)*8.77))/2)*2,2),
$AQ$64="Spring",(ROUND((((AJ64*(((52/12)*8.77)/1520)*8.77))/2)*2,2)))</f>
        <v>0</v>
      </c>
      <c r="AX64" s="137" cm="1">
        <f t="array" ref="AX64">_xlfn.IFS($AQ$64="Full Year",ROUND((((AK64*(52/12)*8.77)/1520)*8.77)*2,2),
$AQ$64="Fall",ROUND((((AK64*(((52/12)*8.77)/1520)*8.77))/2)*2,2),
$AQ$64="Spring",(ROUND((((AK64*(((52/12)*8.77)/1520)*8.77))/2)*2,2)))</f>
        <v>0</v>
      </c>
      <c r="AY64" s="137" cm="1">
        <f t="array" ref="AY64">_xlfn.IFS($AQ$64="Full Year",ROUND((((AL64*(52/12)*8.77)/1520)*8.77)*2,2),
$AQ$64="Fall",ROUND((((AL64*(((52/12)*8.77)/1520)*8.77))/2)*2,2),
$AQ$64="Spring",(ROUND((((AL64*(((52/12)*8.77)/1520)*8.77))/2)*2,2)))</f>
        <v>0</v>
      </c>
      <c r="AZ64" s="151"/>
    </row>
    <row r="65" spans="2:52" ht="25.5" hidden="1" customHeight="1" outlineLevel="1" x14ac:dyDescent="0.25">
      <c r="B65" s="265"/>
      <c r="C65" s="597"/>
      <c r="D65" s="30" t="s">
        <v>180</v>
      </c>
      <c r="E65" s="269"/>
      <c r="F65" s="138"/>
      <c r="G65" s="266"/>
      <c r="H65" s="266"/>
      <c r="I65" s="266"/>
      <c r="J65" s="266"/>
      <c r="K65" s="266"/>
      <c r="L65" s="212"/>
      <c r="M65" s="662"/>
      <c r="N65" s="136">
        <f>ROUND(((G65*(52/12)*3.23)/560)*3.23,2)</f>
        <v>0</v>
      </c>
      <c r="O65" s="136">
        <f>ROUND(((H65*(52/12)*3.23)/560)*3.23,2)</f>
        <v>0</v>
      </c>
      <c r="P65" s="136">
        <f>ROUND(((I65*(52/12)*3.23)/560)*3.23,2)</f>
        <v>0</v>
      </c>
      <c r="Q65" s="136">
        <f t="shared" ref="Q65:R65" si="44">ROUND(((J65*(52/12)*3.23)/560)*3.23,2)</f>
        <v>0</v>
      </c>
      <c r="R65" s="136">
        <f t="shared" si="44"/>
        <v>0</v>
      </c>
      <c r="S65"/>
      <c r="T65" s="68">
        <f>ROUND((($E$65*3.23/560*G65*14)*$B$65)*1.03^G$2,0)</f>
        <v>0</v>
      </c>
      <c r="U65" s="68">
        <f>ROUND((($E$65*3.23/560*H65*14)*$B$65)*1.03^H$2,0)</f>
        <v>0</v>
      </c>
      <c r="V65" s="68">
        <f>ROUND((($E$65*3.23/560*I65*14)*$B$65)*1.03^I$2,0)</f>
        <v>0</v>
      </c>
      <c r="W65" s="68">
        <f>ROUND((($E$65*3.23/560*J65*14)*$B$65)*1.03^J$2,0)</f>
        <v>0</v>
      </c>
      <c r="X65" s="68">
        <f>ROUND((($E$65*3.23/560*K65*14)*$B$65)*1.03^K$2,0)</f>
        <v>0</v>
      </c>
      <c r="Y65" s="70">
        <f t="shared" si="34"/>
        <v>0</v>
      </c>
      <c r="Z65" s="571">
        <f t="shared" si="35"/>
        <v>0</v>
      </c>
      <c r="AA65" s="562">
        <f>(($AR$65*8.77/760*AH65*14)*$AO$65)*1.03^G$2</f>
        <v>0</v>
      </c>
      <c r="AB65" s="242">
        <f>(($AR$65*8.77/760*AI65*14)*$AO$65)*1.03^H$2</f>
        <v>0</v>
      </c>
      <c r="AC65" s="242">
        <f>(($AR$65*8.77/760*AJ65*14)*$AO$65)*1.03^I$2</f>
        <v>0</v>
      </c>
      <c r="AD65" s="242">
        <f>(($AR$65*8.77/760*AK65*14)*$AO$65)*1.03^J$2</f>
        <v>0</v>
      </c>
      <c r="AE65" s="242">
        <f>(($AR$65*8.77/760*AL65*14)*$AO$65)*1.03^K$2</f>
        <v>0</v>
      </c>
      <c r="AF65" s="246">
        <f t="shared" si="37"/>
        <v>0</v>
      </c>
      <c r="AG65" s="140"/>
      <c r="AH65" s="265"/>
      <c r="AI65" s="265"/>
      <c r="AJ65" s="265"/>
      <c r="AK65" s="265"/>
      <c r="AL65" s="265"/>
      <c r="AO65" s="265"/>
      <c r="AP65" s="597"/>
      <c r="AQ65" s="30" t="s">
        <v>180</v>
      </c>
      <c r="AR65" s="269"/>
      <c r="AU65" s="200">
        <f>ROUND(((AH65*(52/12)*3.23)/560)*3.23,2)</f>
        <v>0</v>
      </c>
      <c r="AV65" s="136">
        <f>ROUND(((AI65*(52/12)*3.23)/560)*3.23,2)</f>
        <v>0</v>
      </c>
      <c r="AW65" s="136">
        <f>ROUND(((AJ65*(52/12)*3.23)/560)*3.23,2)</f>
        <v>0</v>
      </c>
      <c r="AX65" s="136">
        <f t="shared" ref="AX65:AY65" si="45">ROUND(((AK65*(52/12)*3.23)/560)*3.23,2)</f>
        <v>0</v>
      </c>
      <c r="AY65" s="136">
        <f t="shared" si="45"/>
        <v>0</v>
      </c>
      <c r="AZ65" s="151"/>
    </row>
    <row r="66" spans="2:52" ht="31.5" customHeight="1" collapsed="1" x14ac:dyDescent="0.25">
      <c r="B66" s="797" t="s">
        <v>186</v>
      </c>
      <c r="C66" s="797"/>
      <c r="D66" s="797"/>
      <c r="E66" s="797"/>
      <c r="F66" s="797"/>
      <c r="G66" s="797"/>
      <c r="H66" s="797"/>
      <c r="I66" s="797"/>
      <c r="J66" s="797"/>
      <c r="K66" s="797"/>
      <c r="L66" s="797"/>
      <c r="M66" s="797"/>
      <c r="N66" s="797"/>
      <c r="O66" s="797"/>
      <c r="P66" s="797"/>
      <c r="Q66" s="797"/>
      <c r="R66" s="797"/>
      <c r="S66" s="797"/>
      <c r="T66" s="379">
        <f t="shared" ref="T66:Y66" si="46">ROUND(SUM(T56:T65),0)</f>
        <v>0</v>
      </c>
      <c r="U66" s="379">
        <f t="shared" si="46"/>
        <v>0</v>
      </c>
      <c r="V66" s="379">
        <f t="shared" si="46"/>
        <v>0</v>
      </c>
      <c r="W66" s="379">
        <f t="shared" si="46"/>
        <v>0</v>
      </c>
      <c r="X66" s="379">
        <f t="shared" si="46"/>
        <v>0</v>
      </c>
      <c r="Y66" s="379">
        <f t="shared" si="46"/>
        <v>0</v>
      </c>
      <c r="Z66" s="567">
        <f t="shared" si="35"/>
        <v>0</v>
      </c>
      <c r="AA66" s="570">
        <f>SUM(AA56:AA65)</f>
        <v>0</v>
      </c>
      <c r="AB66" s="407">
        <f t="shared" ref="AB66:AE66" si="47">SUM(AB56:AB65)</f>
        <v>0</v>
      </c>
      <c r="AC66" s="408">
        <f t="shared" si="47"/>
        <v>0</v>
      </c>
      <c r="AD66" s="408">
        <f t="shared" si="47"/>
        <v>0</v>
      </c>
      <c r="AE66" s="408">
        <f t="shared" si="47"/>
        <v>0</v>
      </c>
      <c r="AF66" s="409">
        <f>SUM(AF56:AF65)</f>
        <v>0</v>
      </c>
      <c r="AG66" s="410"/>
      <c r="AH66" s="711" t="s">
        <v>187</v>
      </c>
      <c r="AI66" s="711"/>
      <c r="AJ66" s="711"/>
      <c r="AK66" s="711"/>
      <c r="AL66" s="711"/>
      <c r="AM66" s="711"/>
      <c r="AN66" s="711"/>
      <c r="AO66" s="711"/>
      <c r="AP66" s="711"/>
      <c r="AQ66" s="711"/>
      <c r="AR66" s="711"/>
      <c r="AS66" s="711"/>
      <c r="AT66" s="711"/>
      <c r="AU66" s="711"/>
      <c r="AV66" s="711"/>
      <c r="AW66" s="711"/>
      <c r="AX66" s="711"/>
      <c r="AY66" s="711"/>
      <c r="AZ66" s="712"/>
    </row>
    <row r="67" spans="2:52" ht="39" customHeight="1" thickBot="1" x14ac:dyDescent="0.3">
      <c r="B67" s="732" t="s">
        <v>188</v>
      </c>
      <c r="C67" s="732"/>
      <c r="D67" s="732"/>
      <c r="E67" s="732"/>
      <c r="F67" s="732"/>
      <c r="G67" s="732"/>
      <c r="H67" s="732"/>
      <c r="I67" s="732"/>
      <c r="J67" s="732"/>
      <c r="K67" s="732"/>
      <c r="L67" s="732"/>
      <c r="M67" s="732"/>
      <c r="N67" s="732"/>
      <c r="O67" s="732"/>
      <c r="P67" s="732"/>
      <c r="Q67" s="732"/>
      <c r="R67" s="732"/>
      <c r="S67" s="732"/>
      <c r="T67" s="355">
        <f>ROUND(OtherGRASalary1 + OtherSalary1,0)</f>
        <v>0</v>
      </c>
      <c r="U67" s="355">
        <f>ROUND(OtherGRASalary2 + OtherSalary2,0)</f>
        <v>0</v>
      </c>
      <c r="V67" s="355">
        <f>ROUND(OtherGRASalary3+OtherSalary3,0)</f>
        <v>0</v>
      </c>
      <c r="W67" s="355">
        <f>ROUND(OtherGRASalary4+OtherSalary4,0)</f>
        <v>0</v>
      </c>
      <c r="X67" s="355">
        <f>ROUND(OtherGRASalary5+OtherSalary5,0)</f>
        <v>0</v>
      </c>
      <c r="Y67" s="355">
        <f>ROUND(OtherGRASalaryTot+OtherSalaryTot,0)</f>
        <v>0</v>
      </c>
      <c r="Z67" s="567">
        <f t="shared" si="35"/>
        <v>0</v>
      </c>
      <c r="AA67" s="441">
        <f>cs.GRASalary1 + cs.Oth.Salary1</f>
        <v>0</v>
      </c>
      <c r="AB67" s="441">
        <f>cs.GRASalary2 + cs.Oth.Salary2</f>
        <v>0</v>
      </c>
      <c r="AC67" s="441">
        <f>cs.GRASalary3 + cs.Oth.Salary3</f>
        <v>0</v>
      </c>
      <c r="AD67" s="441">
        <f>cs.GRASalary4 + cs.Oth.Salary4</f>
        <v>0</v>
      </c>
      <c r="AE67" s="441">
        <f>cs.GRASalary5 + cs.Oth.Salary5</f>
        <v>0</v>
      </c>
      <c r="AF67" s="442">
        <f>cs.GRASalaryToT + cs.Oth.SalaryTot</f>
        <v>0</v>
      </c>
      <c r="AG67" s="406"/>
      <c r="AH67" s="713" t="s">
        <v>189</v>
      </c>
      <c r="AI67" s="713"/>
      <c r="AJ67" s="713"/>
      <c r="AK67" s="713"/>
      <c r="AL67" s="713"/>
      <c r="AM67" s="713"/>
      <c r="AN67" s="713"/>
      <c r="AO67" s="713"/>
      <c r="AP67" s="713"/>
      <c r="AQ67" s="713"/>
      <c r="AR67" s="713"/>
      <c r="AS67" s="713"/>
      <c r="AT67" s="713"/>
      <c r="AU67" s="713"/>
      <c r="AV67" s="713"/>
      <c r="AW67" s="713"/>
      <c r="AX67" s="713"/>
      <c r="AY67" s="713"/>
      <c r="AZ67" s="714"/>
    </row>
    <row r="68" spans="2:52" ht="53.25" customHeight="1" thickBot="1" x14ac:dyDescent="0.35">
      <c r="B68" s="721" t="s">
        <v>190</v>
      </c>
      <c r="C68" s="721"/>
      <c r="D68" s="721"/>
      <c r="E68" s="721"/>
      <c r="F68" s="721"/>
      <c r="G68" s="721"/>
      <c r="H68" s="721"/>
      <c r="I68" s="721"/>
      <c r="J68" s="721"/>
      <c r="K68" s="721"/>
      <c r="L68" s="721"/>
      <c r="M68" s="721"/>
      <c r="N68" s="721"/>
      <c r="O68" s="721"/>
      <c r="P68" s="721"/>
      <c r="Q68" s="721"/>
      <c r="R68" s="721"/>
      <c r="S68" s="721"/>
      <c r="T68" s="721"/>
      <c r="U68" s="721"/>
      <c r="V68" s="721"/>
      <c r="W68" s="721"/>
      <c r="X68" s="721"/>
      <c r="Y68" s="721"/>
      <c r="Z68" s="560"/>
      <c r="AA68" s="652" t="s">
        <v>190</v>
      </c>
      <c r="AB68" s="652"/>
      <c r="AC68" s="652"/>
      <c r="AD68" s="652"/>
      <c r="AE68" s="652"/>
      <c r="AF68" s="652"/>
      <c r="AG68" s="652"/>
      <c r="AH68" s="652"/>
      <c r="AI68" s="652"/>
      <c r="AJ68" s="652"/>
      <c r="AK68" s="652"/>
      <c r="AL68" s="652"/>
      <c r="AM68" s="652"/>
      <c r="AN68" s="652"/>
      <c r="AO68" s="652"/>
      <c r="AP68" s="652"/>
      <c r="AQ68" s="652"/>
      <c r="AR68" s="652"/>
      <c r="AS68" s="652"/>
      <c r="AT68" s="652"/>
      <c r="AU68" s="652"/>
      <c r="AV68" s="652"/>
      <c r="AW68" s="652"/>
      <c r="AX68" s="652"/>
      <c r="AY68" s="652"/>
      <c r="AZ68" s="652"/>
    </row>
    <row r="69" spans="2:52" ht="51.75" customHeight="1" thickTop="1" x14ac:dyDescent="0.25">
      <c r="B69" s="663" t="s">
        <v>119</v>
      </c>
      <c r="C69" s="664"/>
      <c r="D69" s="63" t="s">
        <v>120</v>
      </c>
      <c r="E69" s="64" t="s">
        <v>191</v>
      </c>
      <c r="F69" s="793" t="s">
        <v>192</v>
      </c>
      <c r="G69" s="672"/>
      <c r="H69" s="672"/>
      <c r="I69" s="672"/>
      <c r="J69" s="672"/>
      <c r="K69" s="672"/>
      <c r="L69" s="672"/>
      <c r="M69" s="672"/>
      <c r="N69" s="672"/>
      <c r="O69" s="672"/>
      <c r="P69" s="672"/>
      <c r="Q69" s="672"/>
      <c r="R69" s="672"/>
      <c r="S69" s="672"/>
      <c r="T69" s="52" t="s">
        <v>128</v>
      </c>
      <c r="U69" s="52" t="s">
        <v>129</v>
      </c>
      <c r="V69" s="52" t="s">
        <v>130</v>
      </c>
      <c r="W69" s="52" t="s">
        <v>131</v>
      </c>
      <c r="X69" s="52" t="s">
        <v>132</v>
      </c>
      <c r="Y69" s="378" t="s">
        <v>112</v>
      </c>
      <c r="Z69" s="561"/>
      <c r="AA69" s="25" t="s">
        <v>128</v>
      </c>
      <c r="AB69" s="25" t="s">
        <v>129</v>
      </c>
      <c r="AC69" s="25" t="s">
        <v>130</v>
      </c>
      <c r="AD69" s="25" t="s">
        <v>131</v>
      </c>
      <c r="AE69" s="25" t="s">
        <v>132</v>
      </c>
      <c r="AF69" s="392" t="s">
        <v>133</v>
      </c>
      <c r="AG69" s="672" t="s">
        <v>192</v>
      </c>
      <c r="AH69" s="672"/>
      <c r="AI69" s="672"/>
      <c r="AJ69" s="672"/>
      <c r="AK69" s="672"/>
      <c r="AL69" s="672"/>
      <c r="AM69" s="672"/>
      <c r="AN69" s="672"/>
      <c r="AO69" s="663" t="s">
        <v>119</v>
      </c>
      <c r="AP69" s="664"/>
      <c r="AQ69" s="63" t="s">
        <v>120</v>
      </c>
      <c r="AR69" s="64" t="s">
        <v>191</v>
      </c>
      <c r="AS69" s="213"/>
      <c r="AT69"/>
      <c r="AZ69" s="151"/>
    </row>
    <row r="70" spans="2:52" ht="22.5" customHeight="1" x14ac:dyDescent="0.25">
      <c r="B70" s="658">
        <f t="shared" ref="B70:B75" si="48">B11</f>
        <v>0</v>
      </c>
      <c r="C70" s="658"/>
      <c r="D70" s="32" t="str">
        <f t="shared" ref="D70:D75" si="49">D11</f>
        <v>PI</v>
      </c>
      <c r="E70" s="270">
        <v>0.153</v>
      </c>
      <c r="F70" s="794"/>
      <c r="G70" s="673"/>
      <c r="H70" s="673"/>
      <c r="I70" s="673"/>
      <c r="J70" s="673"/>
      <c r="K70" s="673"/>
      <c r="L70" s="673"/>
      <c r="M70" s="673"/>
      <c r="N70" s="673"/>
      <c r="O70" s="673"/>
      <c r="P70" s="673"/>
      <c r="Q70" s="673"/>
      <c r="R70" s="673"/>
      <c r="S70" s="673"/>
      <c r="T70" s="33">
        <f t="shared" ref="T70:X79" si="50">ROUND($E70*T11,0)</f>
        <v>0</v>
      </c>
      <c r="U70" s="33">
        <f t="shared" si="50"/>
        <v>0</v>
      </c>
      <c r="V70" s="33">
        <f t="shared" si="50"/>
        <v>0</v>
      </c>
      <c r="W70" s="33">
        <f t="shared" si="50"/>
        <v>0</v>
      </c>
      <c r="X70" s="33">
        <f t="shared" si="50"/>
        <v>0</v>
      </c>
      <c r="Y70" s="71">
        <f>ROUND(SUM(T70:X70),0)</f>
        <v>0</v>
      </c>
      <c r="Z70" s="561">
        <f t="shared" ref="Z70:Z89" si="51">Y70+AF70</f>
        <v>0</v>
      </c>
      <c r="AA70" s="566">
        <f t="shared" ref="AA70:AE79" si="52">ROUND($AR70*AA11,0)</f>
        <v>0</v>
      </c>
      <c r="AB70" s="244">
        <f t="shared" si="52"/>
        <v>0</v>
      </c>
      <c r="AC70" s="244">
        <f t="shared" si="52"/>
        <v>0</v>
      </c>
      <c r="AD70" s="244">
        <f t="shared" si="52"/>
        <v>0</v>
      </c>
      <c r="AE70" s="244">
        <f t="shared" si="52"/>
        <v>0</v>
      </c>
      <c r="AF70" s="245">
        <f>SUM(AA70:AE70)</f>
        <v>0</v>
      </c>
      <c r="AG70" s="673"/>
      <c r="AH70" s="673"/>
      <c r="AI70" s="673"/>
      <c r="AJ70" s="673"/>
      <c r="AK70" s="673"/>
      <c r="AL70" s="673"/>
      <c r="AM70" s="673"/>
      <c r="AN70" s="673"/>
      <c r="AO70" s="658">
        <f t="shared" ref="AO70:AO75" si="53">AO11</f>
        <v>0</v>
      </c>
      <c r="AP70" s="658"/>
      <c r="AQ70" s="32" t="str">
        <f t="shared" ref="AQ70:AQ75" si="54">AQ11</f>
        <v>PI</v>
      </c>
      <c r="AR70" s="270">
        <v>0.67</v>
      </c>
      <c r="AS70" s="175"/>
      <c r="AT70"/>
      <c r="AZ70" s="151"/>
    </row>
    <row r="71" spans="2:52" ht="25.5" customHeight="1" x14ac:dyDescent="0.25">
      <c r="B71" s="658">
        <f t="shared" si="48"/>
        <v>0</v>
      </c>
      <c r="C71" s="658"/>
      <c r="D71" s="32" t="str">
        <f t="shared" si="49"/>
        <v>Co PI</v>
      </c>
      <c r="E71" s="270">
        <v>0.153</v>
      </c>
      <c r="F71" s="794"/>
      <c r="G71" s="673"/>
      <c r="H71" s="673"/>
      <c r="I71" s="673"/>
      <c r="J71" s="673"/>
      <c r="K71" s="673"/>
      <c r="L71" s="673"/>
      <c r="M71" s="673"/>
      <c r="N71" s="673"/>
      <c r="O71" s="673"/>
      <c r="P71" s="673"/>
      <c r="Q71" s="673"/>
      <c r="R71" s="673"/>
      <c r="S71" s="673"/>
      <c r="T71" s="33">
        <f t="shared" si="50"/>
        <v>0</v>
      </c>
      <c r="U71" s="33">
        <f t="shared" si="50"/>
        <v>0</v>
      </c>
      <c r="V71" s="33">
        <f t="shared" si="50"/>
        <v>0</v>
      </c>
      <c r="W71" s="33">
        <f t="shared" si="50"/>
        <v>0</v>
      </c>
      <c r="X71" s="33">
        <f t="shared" si="50"/>
        <v>0</v>
      </c>
      <c r="Y71" s="71">
        <f t="shared" ref="Y71:Y78" si="55">ROUND(SUM(T71:X71),0)</f>
        <v>0</v>
      </c>
      <c r="Z71" s="561">
        <f t="shared" si="51"/>
        <v>0</v>
      </c>
      <c r="AA71" s="566">
        <f t="shared" si="52"/>
        <v>0</v>
      </c>
      <c r="AB71" s="244">
        <f t="shared" si="52"/>
        <v>0</v>
      </c>
      <c r="AC71" s="244">
        <f t="shared" si="52"/>
        <v>0</v>
      </c>
      <c r="AD71" s="244">
        <f t="shared" si="52"/>
        <v>0</v>
      </c>
      <c r="AE71" s="244">
        <f t="shared" si="52"/>
        <v>0</v>
      </c>
      <c r="AF71" s="245">
        <f t="shared" ref="AF71" si="56">SUM(AA71:AE71)</f>
        <v>0</v>
      </c>
      <c r="AG71" s="673"/>
      <c r="AH71" s="673"/>
      <c r="AI71" s="673"/>
      <c r="AJ71" s="673"/>
      <c r="AK71" s="673"/>
      <c r="AL71" s="673"/>
      <c r="AM71" s="673"/>
      <c r="AN71" s="673"/>
      <c r="AO71" s="658">
        <f t="shared" si="53"/>
        <v>0</v>
      </c>
      <c r="AP71" s="658"/>
      <c r="AQ71" s="32" t="str">
        <f t="shared" si="54"/>
        <v>Co PI</v>
      </c>
      <c r="AR71" s="270">
        <v>0.67</v>
      </c>
      <c r="AS71" s="175"/>
      <c r="AT71"/>
      <c r="AZ71" s="151"/>
    </row>
    <row r="72" spans="2:52" ht="25.5" customHeight="1" x14ac:dyDescent="0.25">
      <c r="B72" s="658">
        <f t="shared" si="48"/>
        <v>0</v>
      </c>
      <c r="C72" s="658"/>
      <c r="D72" s="32" t="str">
        <f t="shared" si="49"/>
        <v>Co PI</v>
      </c>
      <c r="E72" s="270">
        <v>0.153</v>
      </c>
      <c r="F72" s="794"/>
      <c r="G72" s="673"/>
      <c r="H72" s="673"/>
      <c r="I72" s="673"/>
      <c r="J72" s="673"/>
      <c r="K72" s="673"/>
      <c r="L72" s="673"/>
      <c r="M72" s="673"/>
      <c r="N72" s="673"/>
      <c r="O72" s="673"/>
      <c r="P72" s="673"/>
      <c r="Q72" s="673"/>
      <c r="R72" s="673"/>
      <c r="S72" s="673"/>
      <c r="T72" s="33">
        <f t="shared" si="50"/>
        <v>0</v>
      </c>
      <c r="U72" s="33">
        <f t="shared" si="50"/>
        <v>0</v>
      </c>
      <c r="V72" s="33">
        <f t="shared" si="50"/>
        <v>0</v>
      </c>
      <c r="W72" s="33">
        <f t="shared" si="50"/>
        <v>0</v>
      </c>
      <c r="X72" s="33">
        <f t="shared" si="50"/>
        <v>0</v>
      </c>
      <c r="Y72" s="71">
        <f t="shared" si="55"/>
        <v>0</v>
      </c>
      <c r="Z72" s="561">
        <f t="shared" si="51"/>
        <v>0</v>
      </c>
      <c r="AA72" s="566">
        <f t="shared" si="52"/>
        <v>0</v>
      </c>
      <c r="AB72" s="244">
        <f t="shared" si="52"/>
        <v>0</v>
      </c>
      <c r="AC72" s="244">
        <f t="shared" si="52"/>
        <v>0</v>
      </c>
      <c r="AD72" s="244">
        <f t="shared" si="52"/>
        <v>0</v>
      </c>
      <c r="AE72" s="244">
        <f t="shared" si="52"/>
        <v>0</v>
      </c>
      <c r="AF72" s="245">
        <f>SUM(AA72:AE72)</f>
        <v>0</v>
      </c>
      <c r="AG72" s="673"/>
      <c r="AH72" s="673"/>
      <c r="AI72" s="673"/>
      <c r="AJ72" s="673"/>
      <c r="AK72" s="673"/>
      <c r="AL72" s="673"/>
      <c r="AM72" s="673"/>
      <c r="AN72" s="673"/>
      <c r="AO72" s="658">
        <f t="shared" si="53"/>
        <v>0</v>
      </c>
      <c r="AP72" s="658"/>
      <c r="AQ72" s="32" t="str">
        <f t="shared" si="54"/>
        <v>Co PI</v>
      </c>
      <c r="AR72" s="270">
        <v>0.67</v>
      </c>
      <c r="AS72" s="175"/>
      <c r="AT72"/>
      <c r="AZ72" s="151"/>
    </row>
    <row r="73" spans="2:52" ht="25.5" customHeight="1" x14ac:dyDescent="0.25">
      <c r="B73" s="658">
        <f t="shared" si="48"/>
        <v>0</v>
      </c>
      <c r="C73" s="658"/>
      <c r="D73" s="32" t="str">
        <f t="shared" si="49"/>
        <v>Co PI</v>
      </c>
      <c r="E73" s="270">
        <v>0.153</v>
      </c>
      <c r="F73" s="794"/>
      <c r="G73" s="673"/>
      <c r="H73" s="673"/>
      <c r="I73" s="673"/>
      <c r="J73" s="673"/>
      <c r="K73" s="673"/>
      <c r="L73" s="673"/>
      <c r="M73" s="673"/>
      <c r="N73" s="673"/>
      <c r="O73" s="673"/>
      <c r="P73" s="673"/>
      <c r="Q73" s="673"/>
      <c r="R73" s="673"/>
      <c r="S73" s="673"/>
      <c r="T73" s="33">
        <f t="shared" si="50"/>
        <v>0</v>
      </c>
      <c r="U73" s="33">
        <f t="shared" si="50"/>
        <v>0</v>
      </c>
      <c r="V73" s="33">
        <f t="shared" si="50"/>
        <v>0</v>
      </c>
      <c r="W73" s="33">
        <f t="shared" si="50"/>
        <v>0</v>
      </c>
      <c r="X73" s="33">
        <f t="shared" si="50"/>
        <v>0</v>
      </c>
      <c r="Y73" s="71">
        <f t="shared" si="55"/>
        <v>0</v>
      </c>
      <c r="Z73" s="561"/>
      <c r="AA73" s="566">
        <f t="shared" si="52"/>
        <v>0</v>
      </c>
      <c r="AB73" s="244">
        <f t="shared" si="52"/>
        <v>0</v>
      </c>
      <c r="AC73" s="244">
        <f t="shared" si="52"/>
        <v>0</v>
      </c>
      <c r="AD73" s="244">
        <f t="shared" si="52"/>
        <v>0</v>
      </c>
      <c r="AE73" s="244">
        <f t="shared" si="52"/>
        <v>0</v>
      </c>
      <c r="AF73" s="245">
        <f t="shared" ref="AF73:AF85" si="57">SUM(AA73:AE73)</f>
        <v>0</v>
      </c>
      <c r="AG73" s="673"/>
      <c r="AH73" s="673"/>
      <c r="AI73" s="673"/>
      <c r="AJ73" s="673"/>
      <c r="AK73" s="673"/>
      <c r="AL73" s="673"/>
      <c r="AM73" s="673"/>
      <c r="AN73" s="673"/>
      <c r="AO73" s="658">
        <f t="shared" si="53"/>
        <v>0</v>
      </c>
      <c r="AP73" s="658"/>
      <c r="AQ73" s="32" t="str">
        <f t="shared" si="54"/>
        <v>Senior Personnel</v>
      </c>
      <c r="AR73" s="270">
        <v>0.67</v>
      </c>
      <c r="AS73" s="175"/>
      <c r="AT73"/>
      <c r="AZ73" s="151"/>
    </row>
    <row r="74" spans="2:52" ht="25.5" customHeight="1" x14ac:dyDescent="0.25">
      <c r="B74" s="658">
        <f t="shared" si="48"/>
        <v>0</v>
      </c>
      <c r="C74" s="658"/>
      <c r="D74" s="32" t="str">
        <f t="shared" si="49"/>
        <v>Co PI</v>
      </c>
      <c r="E74" s="270">
        <v>0.153</v>
      </c>
      <c r="F74" s="794"/>
      <c r="G74" s="673"/>
      <c r="H74" s="673"/>
      <c r="I74" s="673"/>
      <c r="J74" s="673"/>
      <c r="K74" s="673"/>
      <c r="L74" s="673"/>
      <c r="M74" s="673"/>
      <c r="N74" s="673"/>
      <c r="O74" s="673"/>
      <c r="P74" s="673"/>
      <c r="Q74" s="673"/>
      <c r="R74" s="673"/>
      <c r="S74" s="673"/>
      <c r="T74" s="33">
        <f t="shared" si="50"/>
        <v>0</v>
      </c>
      <c r="U74" s="33">
        <f t="shared" si="50"/>
        <v>0</v>
      </c>
      <c r="V74" s="33">
        <f t="shared" si="50"/>
        <v>0</v>
      </c>
      <c r="W74" s="33">
        <f t="shared" si="50"/>
        <v>0</v>
      </c>
      <c r="X74" s="33">
        <f t="shared" si="50"/>
        <v>0</v>
      </c>
      <c r="Y74" s="71">
        <f t="shared" si="55"/>
        <v>0</v>
      </c>
      <c r="Z74" s="561"/>
      <c r="AA74" s="566">
        <f t="shared" si="52"/>
        <v>0</v>
      </c>
      <c r="AB74" s="244">
        <f t="shared" si="52"/>
        <v>0</v>
      </c>
      <c r="AC74" s="244">
        <f t="shared" si="52"/>
        <v>0</v>
      </c>
      <c r="AD74" s="244">
        <f t="shared" si="52"/>
        <v>0</v>
      </c>
      <c r="AE74" s="244">
        <f t="shared" si="52"/>
        <v>0</v>
      </c>
      <c r="AF74" s="245">
        <f t="shared" si="57"/>
        <v>0</v>
      </c>
      <c r="AG74" s="673"/>
      <c r="AH74" s="673"/>
      <c r="AI74" s="673"/>
      <c r="AJ74" s="673"/>
      <c r="AK74" s="673"/>
      <c r="AL74" s="673"/>
      <c r="AM74" s="673"/>
      <c r="AN74" s="673"/>
      <c r="AO74" s="658">
        <f t="shared" si="53"/>
        <v>0</v>
      </c>
      <c r="AP74" s="658"/>
      <c r="AQ74" s="32" t="str">
        <f t="shared" si="54"/>
        <v>Senior Personnel</v>
      </c>
      <c r="AR74" s="270"/>
      <c r="AS74" s="175"/>
      <c r="AT74"/>
      <c r="AZ74" s="151"/>
    </row>
    <row r="75" spans="2:52" ht="25.5" customHeight="1" x14ac:dyDescent="0.25">
      <c r="B75" s="658">
        <f t="shared" si="48"/>
        <v>0</v>
      </c>
      <c r="C75" s="658"/>
      <c r="D75" s="32" t="str">
        <f t="shared" si="49"/>
        <v>Senior Personnel</v>
      </c>
      <c r="E75" s="270">
        <v>0.153</v>
      </c>
      <c r="F75" s="794"/>
      <c r="G75" s="673"/>
      <c r="H75" s="673"/>
      <c r="I75" s="673"/>
      <c r="J75" s="673"/>
      <c r="K75" s="673"/>
      <c r="L75" s="673"/>
      <c r="M75" s="673"/>
      <c r="N75" s="673"/>
      <c r="O75" s="673"/>
      <c r="P75" s="673"/>
      <c r="Q75" s="673"/>
      <c r="R75" s="673"/>
      <c r="S75" s="673"/>
      <c r="T75" s="33">
        <f t="shared" si="50"/>
        <v>0</v>
      </c>
      <c r="U75" s="33">
        <f t="shared" si="50"/>
        <v>0</v>
      </c>
      <c r="V75" s="33">
        <f t="shared" si="50"/>
        <v>0</v>
      </c>
      <c r="W75" s="33">
        <f t="shared" si="50"/>
        <v>0</v>
      </c>
      <c r="X75" s="33">
        <f t="shared" si="50"/>
        <v>0</v>
      </c>
      <c r="Y75" s="71">
        <f t="shared" si="55"/>
        <v>0</v>
      </c>
      <c r="Z75" s="561"/>
      <c r="AA75" s="566">
        <f t="shared" si="52"/>
        <v>0</v>
      </c>
      <c r="AB75" s="244">
        <f t="shared" si="52"/>
        <v>0</v>
      </c>
      <c r="AC75" s="244">
        <f t="shared" si="52"/>
        <v>0</v>
      </c>
      <c r="AD75" s="244">
        <f t="shared" si="52"/>
        <v>0</v>
      </c>
      <c r="AE75" s="244">
        <f t="shared" si="52"/>
        <v>0</v>
      </c>
      <c r="AF75" s="245">
        <f t="shared" si="57"/>
        <v>0</v>
      </c>
      <c r="AG75" s="673"/>
      <c r="AH75" s="673"/>
      <c r="AI75" s="673"/>
      <c r="AJ75" s="673"/>
      <c r="AK75" s="673"/>
      <c r="AL75" s="673"/>
      <c r="AM75" s="673"/>
      <c r="AN75" s="673"/>
      <c r="AO75" s="658">
        <f t="shared" si="53"/>
        <v>0</v>
      </c>
      <c r="AP75" s="658"/>
      <c r="AQ75" s="32" t="str">
        <f t="shared" si="54"/>
        <v>Senior Personnel</v>
      </c>
      <c r="AR75" s="270"/>
      <c r="AS75" s="175"/>
      <c r="AT75"/>
      <c r="AZ75" s="151"/>
    </row>
    <row r="76" spans="2:52" ht="25.5" customHeight="1" x14ac:dyDescent="0.25">
      <c r="B76" s="658">
        <f t="shared" ref="B76:B85" si="58">B17</f>
        <v>0</v>
      </c>
      <c r="C76" s="658"/>
      <c r="D76" s="32" t="str">
        <f t="shared" ref="D76:D85" si="59">D17</f>
        <v>Senior Personnel</v>
      </c>
      <c r="E76" s="270">
        <v>8.0600000000000005E-2</v>
      </c>
      <c r="F76" s="794"/>
      <c r="G76" s="673"/>
      <c r="H76" s="673"/>
      <c r="I76" s="673"/>
      <c r="J76" s="673"/>
      <c r="K76" s="673"/>
      <c r="L76" s="673"/>
      <c r="M76" s="673"/>
      <c r="N76" s="673"/>
      <c r="O76" s="673"/>
      <c r="P76" s="673"/>
      <c r="Q76" s="673"/>
      <c r="R76" s="673"/>
      <c r="S76" s="673"/>
      <c r="T76" s="33">
        <f t="shared" si="50"/>
        <v>0</v>
      </c>
      <c r="U76" s="33">
        <f t="shared" si="50"/>
        <v>0</v>
      </c>
      <c r="V76" s="33">
        <f t="shared" si="50"/>
        <v>0</v>
      </c>
      <c r="W76" s="33">
        <f t="shared" si="50"/>
        <v>0</v>
      </c>
      <c r="X76" s="33">
        <f t="shared" si="50"/>
        <v>0</v>
      </c>
      <c r="Y76" s="71">
        <f t="shared" si="55"/>
        <v>0</v>
      </c>
      <c r="Z76" s="561"/>
      <c r="AA76" s="566">
        <f t="shared" si="52"/>
        <v>0</v>
      </c>
      <c r="AB76" s="244">
        <f t="shared" si="52"/>
        <v>0</v>
      </c>
      <c r="AC76" s="244">
        <f t="shared" si="52"/>
        <v>0</v>
      </c>
      <c r="AD76" s="244">
        <f t="shared" si="52"/>
        <v>0</v>
      </c>
      <c r="AE76" s="244">
        <f t="shared" si="52"/>
        <v>0</v>
      </c>
      <c r="AF76" s="245">
        <f t="shared" si="57"/>
        <v>0</v>
      </c>
      <c r="AG76" s="673"/>
      <c r="AH76" s="673"/>
      <c r="AI76" s="673"/>
      <c r="AJ76" s="673"/>
      <c r="AK76" s="673"/>
      <c r="AL76" s="673"/>
      <c r="AM76" s="673"/>
      <c r="AN76" s="673"/>
      <c r="AO76" s="658">
        <f t="shared" ref="AO76:AO85" si="60">AO17</f>
        <v>0</v>
      </c>
      <c r="AP76" s="658"/>
      <c r="AQ76" s="32" t="str">
        <f t="shared" ref="AQ76:AQ85" si="61">AQ17</f>
        <v>Senior Personnel</v>
      </c>
      <c r="AR76" s="270"/>
      <c r="AS76" s="175"/>
      <c r="AT76"/>
      <c r="AZ76" s="151"/>
    </row>
    <row r="77" spans="2:52" ht="25.5" customHeight="1" x14ac:dyDescent="0.25">
      <c r="B77" s="658">
        <f t="shared" si="58"/>
        <v>0</v>
      </c>
      <c r="C77" s="658"/>
      <c r="D77" s="32" t="str">
        <f t="shared" si="59"/>
        <v>Senior Personnel</v>
      </c>
      <c r="E77" s="270">
        <v>8.0600000000000005E-2</v>
      </c>
      <c r="F77" s="794"/>
      <c r="G77" s="673"/>
      <c r="H77" s="673"/>
      <c r="I77" s="673"/>
      <c r="J77" s="673"/>
      <c r="K77" s="673"/>
      <c r="L77" s="673"/>
      <c r="M77" s="673"/>
      <c r="N77" s="673"/>
      <c r="O77" s="673"/>
      <c r="P77" s="673"/>
      <c r="Q77" s="673"/>
      <c r="R77" s="673"/>
      <c r="S77" s="673"/>
      <c r="T77" s="33">
        <f t="shared" si="50"/>
        <v>0</v>
      </c>
      <c r="U77" s="33">
        <f t="shared" si="50"/>
        <v>0</v>
      </c>
      <c r="V77" s="33">
        <f t="shared" si="50"/>
        <v>0</v>
      </c>
      <c r="W77" s="33">
        <f t="shared" si="50"/>
        <v>0</v>
      </c>
      <c r="X77" s="33">
        <f t="shared" si="50"/>
        <v>0</v>
      </c>
      <c r="Y77" s="71">
        <f t="shared" si="55"/>
        <v>0</v>
      </c>
      <c r="Z77" s="561"/>
      <c r="AA77" s="566">
        <f t="shared" si="52"/>
        <v>0</v>
      </c>
      <c r="AB77" s="244">
        <f t="shared" si="52"/>
        <v>0</v>
      </c>
      <c r="AC77" s="244">
        <f t="shared" si="52"/>
        <v>0</v>
      </c>
      <c r="AD77" s="244">
        <f t="shared" si="52"/>
        <v>0</v>
      </c>
      <c r="AE77" s="244">
        <f t="shared" si="52"/>
        <v>0</v>
      </c>
      <c r="AF77" s="245">
        <f t="shared" si="57"/>
        <v>0</v>
      </c>
      <c r="AG77" s="673"/>
      <c r="AH77" s="673"/>
      <c r="AI77" s="673"/>
      <c r="AJ77" s="673"/>
      <c r="AK77" s="673"/>
      <c r="AL77" s="673"/>
      <c r="AM77" s="673"/>
      <c r="AN77" s="673"/>
      <c r="AO77" s="658">
        <f t="shared" si="60"/>
        <v>0</v>
      </c>
      <c r="AP77" s="658"/>
      <c r="AQ77" s="32" t="str">
        <f t="shared" si="61"/>
        <v>Senior Personnel</v>
      </c>
      <c r="AR77" s="270"/>
      <c r="AS77" s="175"/>
      <c r="AT77"/>
      <c r="AZ77" s="151"/>
    </row>
    <row r="78" spans="2:52" ht="25.5" customHeight="1" thickTop="1" thickBot="1" x14ac:dyDescent="0.3">
      <c r="B78" s="658">
        <f t="shared" si="58"/>
        <v>0</v>
      </c>
      <c r="C78" s="658"/>
      <c r="D78" s="32" t="str">
        <f t="shared" si="59"/>
        <v>Senior Personnel</v>
      </c>
      <c r="E78" s="270"/>
      <c r="F78" s="794"/>
      <c r="G78" s="673"/>
      <c r="H78" s="673"/>
      <c r="I78" s="673"/>
      <c r="J78" s="673"/>
      <c r="K78" s="673"/>
      <c r="L78" s="673"/>
      <c r="M78" s="673"/>
      <c r="N78" s="673"/>
      <c r="O78" s="673"/>
      <c r="P78" s="673"/>
      <c r="Q78" s="673"/>
      <c r="R78" s="673"/>
      <c r="S78" s="673"/>
      <c r="T78" s="33">
        <f t="shared" si="50"/>
        <v>0</v>
      </c>
      <c r="U78" s="33">
        <f t="shared" si="50"/>
        <v>0</v>
      </c>
      <c r="V78" s="33">
        <f t="shared" si="50"/>
        <v>0</v>
      </c>
      <c r="W78" s="33">
        <f t="shared" si="50"/>
        <v>0</v>
      </c>
      <c r="X78" s="33">
        <f t="shared" si="50"/>
        <v>0</v>
      </c>
      <c r="Y78" s="71">
        <f t="shared" si="55"/>
        <v>0</v>
      </c>
      <c r="Z78" s="561"/>
      <c r="AA78" s="566">
        <f t="shared" si="52"/>
        <v>0</v>
      </c>
      <c r="AB78" s="244">
        <f t="shared" si="52"/>
        <v>0</v>
      </c>
      <c r="AC78" s="244">
        <f t="shared" si="52"/>
        <v>0</v>
      </c>
      <c r="AD78" s="244">
        <f t="shared" si="52"/>
        <v>0</v>
      </c>
      <c r="AE78" s="244">
        <f t="shared" si="52"/>
        <v>0</v>
      </c>
      <c r="AF78" s="245">
        <f t="shared" si="57"/>
        <v>0</v>
      </c>
      <c r="AG78" s="673"/>
      <c r="AH78" s="673"/>
      <c r="AI78" s="673"/>
      <c r="AJ78" s="673"/>
      <c r="AK78" s="673"/>
      <c r="AL78" s="673"/>
      <c r="AM78" s="673"/>
      <c r="AN78" s="673"/>
      <c r="AO78" s="658">
        <f t="shared" si="60"/>
        <v>0</v>
      </c>
      <c r="AP78" s="658"/>
      <c r="AQ78" s="32" t="str">
        <f t="shared" si="61"/>
        <v>Senior Personnel</v>
      </c>
      <c r="AR78" s="270"/>
      <c r="AS78" s="175"/>
      <c r="AT78"/>
      <c r="AZ78" s="151"/>
    </row>
    <row r="79" spans="2:52" ht="25.5" hidden="1" customHeight="1" outlineLevel="1" thickTop="1" thickBot="1" x14ac:dyDescent="0.3">
      <c r="B79" s="658">
        <f t="shared" si="58"/>
        <v>0</v>
      </c>
      <c r="C79" s="658"/>
      <c r="D79" s="32" t="str">
        <f t="shared" si="59"/>
        <v>Senior Personnel</v>
      </c>
      <c r="E79" s="270"/>
      <c r="F79" s="794"/>
      <c r="G79" s="673"/>
      <c r="H79" s="673"/>
      <c r="I79" s="673"/>
      <c r="J79" s="673"/>
      <c r="K79" s="673"/>
      <c r="L79" s="673"/>
      <c r="M79" s="673"/>
      <c r="N79" s="673"/>
      <c r="O79" s="673"/>
      <c r="P79" s="673"/>
      <c r="Q79" s="673"/>
      <c r="R79" s="673"/>
      <c r="S79" s="673"/>
      <c r="T79" s="33">
        <f t="shared" si="50"/>
        <v>0</v>
      </c>
      <c r="U79" s="33">
        <f t="shared" si="50"/>
        <v>0</v>
      </c>
      <c r="V79" s="33">
        <f t="shared" si="50"/>
        <v>0</v>
      </c>
      <c r="W79" s="33">
        <f t="shared" si="50"/>
        <v>0</v>
      </c>
      <c r="X79" s="33">
        <f t="shared" si="50"/>
        <v>0</v>
      </c>
      <c r="Y79" s="71">
        <f t="shared" ref="Y79:Y88" si="62">SUM(T79:X79)</f>
        <v>0</v>
      </c>
      <c r="Z79" s="561"/>
      <c r="AA79" s="566">
        <f t="shared" si="52"/>
        <v>0</v>
      </c>
      <c r="AB79" s="244">
        <f t="shared" si="52"/>
        <v>0</v>
      </c>
      <c r="AC79" s="244">
        <f t="shared" si="52"/>
        <v>0</v>
      </c>
      <c r="AD79" s="244">
        <f t="shared" si="52"/>
        <v>0</v>
      </c>
      <c r="AE79" s="244">
        <f t="shared" si="52"/>
        <v>0</v>
      </c>
      <c r="AF79" s="245">
        <f t="shared" si="57"/>
        <v>0</v>
      </c>
      <c r="AG79" s="673"/>
      <c r="AH79" s="673"/>
      <c r="AI79" s="673"/>
      <c r="AJ79" s="673"/>
      <c r="AK79" s="673"/>
      <c r="AL79" s="673"/>
      <c r="AM79" s="673"/>
      <c r="AN79" s="673"/>
      <c r="AO79" s="658">
        <f t="shared" si="60"/>
        <v>0</v>
      </c>
      <c r="AP79" s="658"/>
      <c r="AQ79" s="32" t="str">
        <f t="shared" si="61"/>
        <v>Senior Personnel</v>
      </c>
      <c r="AR79" s="270"/>
      <c r="AS79" s="175"/>
      <c r="AT79"/>
      <c r="AZ79" s="151"/>
    </row>
    <row r="80" spans="2:52" ht="25.5" hidden="1" customHeight="1" outlineLevel="1" thickTop="1" thickBot="1" x14ac:dyDescent="0.3">
      <c r="B80" s="658">
        <f t="shared" si="58"/>
        <v>0</v>
      </c>
      <c r="C80" s="658"/>
      <c r="D80" s="32" t="str">
        <f t="shared" si="59"/>
        <v>Senior Personnel</v>
      </c>
      <c r="E80" s="270"/>
      <c r="F80" s="794"/>
      <c r="G80" s="673"/>
      <c r="H80" s="673"/>
      <c r="I80" s="673"/>
      <c r="J80" s="673"/>
      <c r="K80" s="673"/>
      <c r="L80" s="673"/>
      <c r="M80" s="673"/>
      <c r="N80" s="673"/>
      <c r="O80" s="673"/>
      <c r="P80" s="673"/>
      <c r="Q80" s="673"/>
      <c r="R80" s="673"/>
      <c r="S80" s="673"/>
      <c r="T80" s="33">
        <f t="shared" ref="T80:X88" si="63">ROUND($E80*T21,0)</f>
        <v>0</v>
      </c>
      <c r="U80" s="33">
        <f t="shared" si="63"/>
        <v>0</v>
      </c>
      <c r="V80" s="33">
        <f t="shared" si="63"/>
        <v>0</v>
      </c>
      <c r="W80" s="33">
        <f t="shared" si="63"/>
        <v>0</v>
      </c>
      <c r="X80" s="33">
        <f t="shared" si="63"/>
        <v>0</v>
      </c>
      <c r="Y80" s="71">
        <f t="shared" si="62"/>
        <v>0</v>
      </c>
      <c r="Z80" s="561"/>
      <c r="AA80" s="566">
        <f t="shared" ref="AA80:AE88" si="64">ROUND($AR80*AA21,0)</f>
        <v>0</v>
      </c>
      <c r="AB80" s="244">
        <f t="shared" si="64"/>
        <v>0</v>
      </c>
      <c r="AC80" s="244">
        <f t="shared" si="64"/>
        <v>0</v>
      </c>
      <c r="AD80" s="244">
        <f t="shared" si="64"/>
        <v>0</v>
      </c>
      <c r="AE80" s="244">
        <f t="shared" si="64"/>
        <v>0</v>
      </c>
      <c r="AF80" s="245">
        <f t="shared" si="57"/>
        <v>0</v>
      </c>
      <c r="AG80" s="673"/>
      <c r="AH80" s="673"/>
      <c r="AI80" s="673"/>
      <c r="AJ80" s="673"/>
      <c r="AK80" s="673"/>
      <c r="AL80" s="673"/>
      <c r="AM80" s="673"/>
      <c r="AN80" s="673"/>
      <c r="AO80" s="658">
        <f t="shared" si="60"/>
        <v>0</v>
      </c>
      <c r="AP80" s="658"/>
      <c r="AQ80" s="32" t="str">
        <f t="shared" si="61"/>
        <v>Senior Personnel</v>
      </c>
      <c r="AR80" s="270"/>
      <c r="AS80" s="175"/>
      <c r="AT80"/>
      <c r="AZ80" s="151"/>
    </row>
    <row r="81" spans="2:53" ht="25.5" hidden="1" customHeight="1" outlineLevel="1" thickTop="1" thickBot="1" x14ac:dyDescent="0.3">
      <c r="B81" s="658">
        <f t="shared" si="58"/>
        <v>0</v>
      </c>
      <c r="C81" s="658"/>
      <c r="D81" s="32" t="str">
        <f t="shared" si="59"/>
        <v>Senior Personnel</v>
      </c>
      <c r="E81" s="270"/>
      <c r="F81" s="794"/>
      <c r="G81" s="673"/>
      <c r="H81" s="673"/>
      <c r="I81" s="673"/>
      <c r="J81" s="673"/>
      <c r="K81" s="673"/>
      <c r="L81" s="673"/>
      <c r="M81" s="673"/>
      <c r="N81" s="673"/>
      <c r="O81" s="673"/>
      <c r="P81" s="673"/>
      <c r="Q81" s="673"/>
      <c r="R81" s="673"/>
      <c r="S81" s="673"/>
      <c r="T81" s="33">
        <f t="shared" si="63"/>
        <v>0</v>
      </c>
      <c r="U81" s="33">
        <f t="shared" si="63"/>
        <v>0</v>
      </c>
      <c r="V81" s="33">
        <f t="shared" si="63"/>
        <v>0</v>
      </c>
      <c r="W81" s="33">
        <f t="shared" si="63"/>
        <v>0</v>
      </c>
      <c r="X81" s="33">
        <f t="shared" si="63"/>
        <v>0</v>
      </c>
      <c r="Y81" s="71">
        <f t="shared" si="62"/>
        <v>0</v>
      </c>
      <c r="Z81" s="561"/>
      <c r="AA81" s="566">
        <f t="shared" si="64"/>
        <v>0</v>
      </c>
      <c r="AB81" s="244">
        <f t="shared" si="64"/>
        <v>0</v>
      </c>
      <c r="AC81" s="244">
        <f t="shared" si="64"/>
        <v>0</v>
      </c>
      <c r="AD81" s="244">
        <f t="shared" si="64"/>
        <v>0</v>
      </c>
      <c r="AE81" s="244">
        <f t="shared" si="64"/>
        <v>0</v>
      </c>
      <c r="AF81" s="245">
        <f t="shared" si="57"/>
        <v>0</v>
      </c>
      <c r="AG81" s="673"/>
      <c r="AH81" s="673"/>
      <c r="AI81" s="673"/>
      <c r="AJ81" s="673"/>
      <c r="AK81" s="673"/>
      <c r="AL81" s="673"/>
      <c r="AM81" s="673"/>
      <c r="AN81" s="673"/>
      <c r="AO81" s="658">
        <f t="shared" si="60"/>
        <v>0</v>
      </c>
      <c r="AP81" s="658"/>
      <c r="AQ81" s="32" t="str">
        <f t="shared" si="61"/>
        <v>Senior Personnel</v>
      </c>
      <c r="AR81" s="270"/>
      <c r="AS81" s="175"/>
      <c r="AT81"/>
      <c r="AZ81" s="151"/>
    </row>
    <row r="82" spans="2:53" ht="25.5" hidden="1" customHeight="1" outlineLevel="1" thickTop="1" thickBot="1" x14ac:dyDescent="0.3">
      <c r="B82" s="658">
        <f t="shared" si="58"/>
        <v>0</v>
      </c>
      <c r="C82" s="658"/>
      <c r="D82" s="32" t="str">
        <f t="shared" si="59"/>
        <v>Senior Personnel</v>
      </c>
      <c r="E82" s="270"/>
      <c r="F82" s="794"/>
      <c r="G82" s="673"/>
      <c r="H82" s="673"/>
      <c r="I82" s="673"/>
      <c r="J82" s="673"/>
      <c r="K82" s="673"/>
      <c r="L82" s="673"/>
      <c r="M82" s="673"/>
      <c r="N82" s="673"/>
      <c r="O82" s="673"/>
      <c r="P82" s="673"/>
      <c r="Q82" s="673"/>
      <c r="R82" s="673"/>
      <c r="S82" s="673"/>
      <c r="T82" s="33">
        <f t="shared" si="63"/>
        <v>0</v>
      </c>
      <c r="U82" s="33">
        <f t="shared" si="63"/>
        <v>0</v>
      </c>
      <c r="V82" s="33">
        <f t="shared" si="63"/>
        <v>0</v>
      </c>
      <c r="W82" s="33">
        <f t="shared" si="63"/>
        <v>0</v>
      </c>
      <c r="X82" s="33">
        <f t="shared" si="63"/>
        <v>0</v>
      </c>
      <c r="Y82" s="71">
        <f t="shared" si="62"/>
        <v>0</v>
      </c>
      <c r="Z82" s="561"/>
      <c r="AA82" s="566">
        <f t="shared" si="64"/>
        <v>0</v>
      </c>
      <c r="AB82" s="244">
        <f t="shared" si="64"/>
        <v>0</v>
      </c>
      <c r="AC82" s="244">
        <f t="shared" si="64"/>
        <v>0</v>
      </c>
      <c r="AD82" s="244">
        <f t="shared" si="64"/>
        <v>0</v>
      </c>
      <c r="AE82" s="244">
        <f t="shared" si="64"/>
        <v>0</v>
      </c>
      <c r="AF82" s="245">
        <f t="shared" si="57"/>
        <v>0</v>
      </c>
      <c r="AG82" s="673"/>
      <c r="AH82" s="673"/>
      <c r="AI82" s="673"/>
      <c r="AJ82" s="673"/>
      <c r="AK82" s="673"/>
      <c r="AL82" s="673"/>
      <c r="AM82" s="673"/>
      <c r="AN82" s="673"/>
      <c r="AO82" s="658">
        <f t="shared" si="60"/>
        <v>0</v>
      </c>
      <c r="AP82" s="658"/>
      <c r="AQ82" s="32" t="str">
        <f t="shared" si="61"/>
        <v>Senior Personnel</v>
      </c>
      <c r="AR82" s="270"/>
      <c r="AS82" s="175"/>
      <c r="AT82"/>
      <c r="AZ82" s="151"/>
    </row>
    <row r="83" spans="2:53" ht="25.5" hidden="1" customHeight="1" outlineLevel="1" thickTop="1" thickBot="1" x14ac:dyDescent="0.3">
      <c r="B83" s="658">
        <f t="shared" si="58"/>
        <v>0</v>
      </c>
      <c r="C83" s="658"/>
      <c r="D83" s="32" t="str">
        <f t="shared" si="59"/>
        <v>Senior Personnel</v>
      </c>
      <c r="E83" s="270"/>
      <c r="F83" s="794"/>
      <c r="G83" s="673"/>
      <c r="H83" s="673"/>
      <c r="I83" s="673"/>
      <c r="J83" s="673"/>
      <c r="K83" s="673"/>
      <c r="L83" s="673"/>
      <c r="M83" s="673"/>
      <c r="N83" s="673"/>
      <c r="O83" s="673"/>
      <c r="P83" s="673"/>
      <c r="Q83" s="673"/>
      <c r="R83" s="673"/>
      <c r="S83" s="673"/>
      <c r="T83" s="33">
        <f t="shared" si="63"/>
        <v>0</v>
      </c>
      <c r="U83" s="33">
        <f t="shared" si="63"/>
        <v>0</v>
      </c>
      <c r="V83" s="33">
        <f t="shared" si="63"/>
        <v>0</v>
      </c>
      <c r="W83" s="33">
        <f t="shared" si="63"/>
        <v>0</v>
      </c>
      <c r="X83" s="33">
        <f t="shared" si="63"/>
        <v>0</v>
      </c>
      <c r="Y83" s="71">
        <f t="shared" si="62"/>
        <v>0</v>
      </c>
      <c r="Z83" s="561"/>
      <c r="AA83" s="566">
        <f t="shared" si="64"/>
        <v>0</v>
      </c>
      <c r="AB83" s="244">
        <f t="shared" si="64"/>
        <v>0</v>
      </c>
      <c r="AC83" s="244">
        <f t="shared" si="64"/>
        <v>0</v>
      </c>
      <c r="AD83" s="244">
        <f t="shared" si="64"/>
        <v>0</v>
      </c>
      <c r="AE83" s="244">
        <f t="shared" si="64"/>
        <v>0</v>
      </c>
      <c r="AF83" s="245">
        <f t="shared" si="57"/>
        <v>0</v>
      </c>
      <c r="AG83" s="673"/>
      <c r="AH83" s="673"/>
      <c r="AI83" s="673"/>
      <c r="AJ83" s="673"/>
      <c r="AK83" s="673"/>
      <c r="AL83" s="673"/>
      <c r="AM83" s="673"/>
      <c r="AN83" s="673"/>
      <c r="AO83" s="658">
        <f t="shared" si="60"/>
        <v>0</v>
      </c>
      <c r="AP83" s="658"/>
      <c r="AQ83" s="32" t="str">
        <f t="shared" si="61"/>
        <v>Senior Personnel</v>
      </c>
      <c r="AR83" s="270"/>
      <c r="AS83" s="175"/>
      <c r="AT83"/>
      <c r="AZ83" s="151"/>
    </row>
    <row r="84" spans="2:53" ht="25.5" hidden="1" customHeight="1" outlineLevel="1" thickTop="1" thickBot="1" x14ac:dyDescent="0.3">
      <c r="B84" s="658">
        <f t="shared" si="58"/>
        <v>0</v>
      </c>
      <c r="C84" s="658"/>
      <c r="D84" s="32" t="str">
        <f t="shared" si="59"/>
        <v>Senior Personnel</v>
      </c>
      <c r="E84" s="270"/>
      <c r="F84" s="794"/>
      <c r="G84" s="673"/>
      <c r="H84" s="673"/>
      <c r="I84" s="673"/>
      <c r="J84" s="673"/>
      <c r="K84" s="673"/>
      <c r="L84" s="673"/>
      <c r="M84" s="673"/>
      <c r="N84" s="673"/>
      <c r="O84" s="673"/>
      <c r="P84" s="673"/>
      <c r="Q84" s="673"/>
      <c r="R84" s="673"/>
      <c r="S84" s="673"/>
      <c r="T84" s="33">
        <f t="shared" si="63"/>
        <v>0</v>
      </c>
      <c r="U84" s="33">
        <f t="shared" si="63"/>
        <v>0</v>
      </c>
      <c r="V84" s="33">
        <f t="shared" si="63"/>
        <v>0</v>
      </c>
      <c r="W84" s="33">
        <f t="shared" si="63"/>
        <v>0</v>
      </c>
      <c r="X84" s="33">
        <f t="shared" si="63"/>
        <v>0</v>
      </c>
      <c r="Y84" s="71">
        <f t="shared" si="62"/>
        <v>0</v>
      </c>
      <c r="Z84" s="561"/>
      <c r="AA84" s="566">
        <f t="shared" si="64"/>
        <v>0</v>
      </c>
      <c r="AB84" s="244">
        <f t="shared" si="64"/>
        <v>0</v>
      </c>
      <c r="AC84" s="244">
        <f t="shared" si="64"/>
        <v>0</v>
      </c>
      <c r="AD84" s="244">
        <f t="shared" si="64"/>
        <v>0</v>
      </c>
      <c r="AE84" s="244">
        <f t="shared" si="64"/>
        <v>0</v>
      </c>
      <c r="AF84" s="245">
        <f t="shared" si="57"/>
        <v>0</v>
      </c>
      <c r="AG84" s="673"/>
      <c r="AH84" s="673"/>
      <c r="AI84" s="673"/>
      <c r="AJ84" s="673"/>
      <c r="AK84" s="673"/>
      <c r="AL84" s="673"/>
      <c r="AM84" s="673"/>
      <c r="AN84" s="673"/>
      <c r="AO84" s="658">
        <f t="shared" si="60"/>
        <v>0</v>
      </c>
      <c r="AP84" s="658"/>
      <c r="AQ84" s="32" t="str">
        <f t="shared" si="61"/>
        <v>Senior Personnel</v>
      </c>
      <c r="AR84" s="270"/>
      <c r="AS84" s="175"/>
      <c r="AT84"/>
      <c r="AZ84" s="151"/>
    </row>
    <row r="85" spans="2:53" ht="25.5" hidden="1" customHeight="1" outlineLevel="1" thickTop="1" thickBot="1" x14ac:dyDescent="0.3">
      <c r="B85" s="658">
        <f t="shared" si="58"/>
        <v>0</v>
      </c>
      <c r="C85" s="658"/>
      <c r="D85" s="32" t="str">
        <f t="shared" si="59"/>
        <v>Senior Personnel</v>
      </c>
      <c r="E85" s="270"/>
      <c r="F85" s="794"/>
      <c r="G85" s="673"/>
      <c r="H85" s="673"/>
      <c r="I85" s="673"/>
      <c r="J85" s="673"/>
      <c r="K85" s="673"/>
      <c r="L85" s="673"/>
      <c r="M85" s="673"/>
      <c r="N85" s="673"/>
      <c r="O85" s="673"/>
      <c r="P85" s="673"/>
      <c r="Q85" s="673"/>
      <c r="R85" s="673"/>
      <c r="S85" s="673"/>
      <c r="T85" s="33">
        <f t="shared" si="63"/>
        <v>0</v>
      </c>
      <c r="U85" s="33">
        <f t="shared" si="63"/>
        <v>0</v>
      </c>
      <c r="V85" s="33">
        <f t="shared" si="63"/>
        <v>0</v>
      </c>
      <c r="W85" s="33">
        <f t="shared" si="63"/>
        <v>0</v>
      </c>
      <c r="X85" s="33">
        <f t="shared" si="63"/>
        <v>0</v>
      </c>
      <c r="Y85" s="71">
        <f t="shared" si="62"/>
        <v>0</v>
      </c>
      <c r="Z85" s="561"/>
      <c r="AA85" s="566">
        <f t="shared" si="64"/>
        <v>0</v>
      </c>
      <c r="AB85" s="244">
        <f t="shared" si="64"/>
        <v>0</v>
      </c>
      <c r="AC85" s="244">
        <f t="shared" si="64"/>
        <v>0</v>
      </c>
      <c r="AD85" s="244">
        <f t="shared" si="64"/>
        <v>0</v>
      </c>
      <c r="AE85" s="244">
        <f t="shared" si="64"/>
        <v>0</v>
      </c>
      <c r="AF85" s="245">
        <f t="shared" si="57"/>
        <v>0</v>
      </c>
      <c r="AG85" s="673"/>
      <c r="AH85" s="673"/>
      <c r="AI85" s="673"/>
      <c r="AJ85" s="673"/>
      <c r="AK85" s="673"/>
      <c r="AL85" s="673"/>
      <c r="AM85" s="673"/>
      <c r="AN85" s="673"/>
      <c r="AO85" s="658">
        <f t="shared" si="60"/>
        <v>0</v>
      </c>
      <c r="AP85" s="658"/>
      <c r="AQ85" s="32" t="str">
        <f t="shared" si="61"/>
        <v>Senior Personnel</v>
      </c>
      <c r="AR85" s="270"/>
      <c r="AS85" s="175"/>
      <c r="AT85"/>
      <c r="AZ85" s="151"/>
    </row>
    <row r="86" spans="2:53" ht="22.5" hidden="1" customHeight="1" outlineLevel="1" thickTop="1" thickBot="1" x14ac:dyDescent="0.3">
      <c r="B86" s="658">
        <f>B27</f>
        <v>0</v>
      </c>
      <c r="C86" s="658"/>
      <c r="D86" s="32" t="str">
        <f>D27</f>
        <v>Senior Personnel</v>
      </c>
      <c r="E86" s="270"/>
      <c r="F86" s="794"/>
      <c r="G86" s="673"/>
      <c r="H86" s="673"/>
      <c r="I86" s="673"/>
      <c r="J86" s="673"/>
      <c r="K86" s="673"/>
      <c r="L86" s="673"/>
      <c r="M86" s="673"/>
      <c r="N86" s="673"/>
      <c r="O86" s="673"/>
      <c r="P86" s="673"/>
      <c r="Q86" s="673"/>
      <c r="R86" s="673"/>
      <c r="S86" s="673"/>
      <c r="T86" s="33">
        <f t="shared" si="63"/>
        <v>0</v>
      </c>
      <c r="U86" s="33">
        <f t="shared" si="63"/>
        <v>0</v>
      </c>
      <c r="V86" s="33">
        <f t="shared" si="63"/>
        <v>0</v>
      </c>
      <c r="W86" s="33">
        <f t="shared" si="63"/>
        <v>0</v>
      </c>
      <c r="X86" s="33">
        <f t="shared" si="63"/>
        <v>0</v>
      </c>
      <c r="Y86" s="71">
        <f t="shared" si="62"/>
        <v>0</v>
      </c>
      <c r="Z86" s="561">
        <f t="shared" si="51"/>
        <v>0</v>
      </c>
      <c r="AA86" s="566">
        <f t="shared" si="64"/>
        <v>0</v>
      </c>
      <c r="AB86" s="244">
        <f t="shared" si="64"/>
        <v>0</v>
      </c>
      <c r="AC86" s="244">
        <f t="shared" si="64"/>
        <v>0</v>
      </c>
      <c r="AD86" s="244">
        <f t="shared" si="64"/>
        <v>0</v>
      </c>
      <c r="AE86" s="244">
        <f t="shared" si="64"/>
        <v>0</v>
      </c>
      <c r="AF86" s="245">
        <f>SUM(AA86:AE86)</f>
        <v>0</v>
      </c>
      <c r="AG86" s="673"/>
      <c r="AH86" s="673"/>
      <c r="AI86" s="673"/>
      <c r="AJ86" s="673"/>
      <c r="AK86" s="673"/>
      <c r="AL86" s="673"/>
      <c r="AM86" s="673"/>
      <c r="AN86" s="673"/>
      <c r="AO86" s="658">
        <f>AO27</f>
        <v>0</v>
      </c>
      <c r="AP86" s="658"/>
      <c r="AQ86" s="32" t="str">
        <f>AQ27</f>
        <v>Senior Personnel</v>
      </c>
      <c r="AR86" s="270"/>
      <c r="AS86" s="175"/>
      <c r="AT86"/>
      <c r="AZ86" s="151"/>
    </row>
    <row r="87" spans="2:53" ht="22.5" hidden="1" customHeight="1" outlineLevel="1" thickTop="1" thickBot="1" x14ac:dyDescent="0.3">
      <c r="B87" s="658">
        <f>B28</f>
        <v>0</v>
      </c>
      <c r="C87" s="658"/>
      <c r="D87" s="32" t="str">
        <f>D28</f>
        <v>Senior Personnel</v>
      </c>
      <c r="E87" s="270"/>
      <c r="F87" s="794"/>
      <c r="G87" s="673"/>
      <c r="H87" s="673"/>
      <c r="I87" s="673"/>
      <c r="J87" s="673"/>
      <c r="K87" s="673"/>
      <c r="L87" s="673"/>
      <c r="M87" s="673"/>
      <c r="N87" s="673"/>
      <c r="O87" s="673"/>
      <c r="P87" s="673"/>
      <c r="Q87" s="673"/>
      <c r="R87" s="673"/>
      <c r="S87" s="673"/>
      <c r="T87" s="33">
        <f t="shared" si="63"/>
        <v>0</v>
      </c>
      <c r="U87" s="33">
        <f t="shared" si="63"/>
        <v>0</v>
      </c>
      <c r="V87" s="33">
        <f t="shared" si="63"/>
        <v>0</v>
      </c>
      <c r="W87" s="33">
        <f t="shared" si="63"/>
        <v>0</v>
      </c>
      <c r="X87" s="33">
        <f t="shared" si="63"/>
        <v>0</v>
      </c>
      <c r="Y87" s="71">
        <f t="shared" si="62"/>
        <v>0</v>
      </c>
      <c r="Z87" s="561">
        <f t="shared" si="51"/>
        <v>0</v>
      </c>
      <c r="AA87" s="566">
        <f t="shared" si="64"/>
        <v>0</v>
      </c>
      <c r="AB87" s="244">
        <f t="shared" si="64"/>
        <v>0</v>
      </c>
      <c r="AC87" s="244">
        <f t="shared" si="64"/>
        <v>0</v>
      </c>
      <c r="AD87" s="244">
        <f t="shared" si="64"/>
        <v>0</v>
      </c>
      <c r="AE87" s="244">
        <f t="shared" si="64"/>
        <v>0</v>
      </c>
      <c r="AF87" s="245">
        <f>SUM(AA87:AE87)</f>
        <v>0</v>
      </c>
      <c r="AG87" s="673"/>
      <c r="AH87" s="673"/>
      <c r="AI87" s="673"/>
      <c r="AJ87" s="673"/>
      <c r="AK87" s="673"/>
      <c r="AL87" s="673"/>
      <c r="AM87" s="673"/>
      <c r="AN87" s="673"/>
      <c r="AO87" s="658">
        <f>AO28</f>
        <v>0</v>
      </c>
      <c r="AP87" s="658"/>
      <c r="AQ87" s="32" t="str">
        <f>AQ28</f>
        <v>Senior Personnel</v>
      </c>
      <c r="AR87" s="270"/>
      <c r="AS87" s="175"/>
      <c r="AT87"/>
      <c r="AZ87" s="151"/>
    </row>
    <row r="88" spans="2:53" ht="22.5" hidden="1" customHeight="1" outlineLevel="1" thickTop="1" thickBot="1" x14ac:dyDescent="0.3">
      <c r="B88" s="658">
        <f>B29</f>
        <v>0</v>
      </c>
      <c r="C88" s="658"/>
      <c r="D88" s="32" t="str">
        <f>D29</f>
        <v>Senior Personnel</v>
      </c>
      <c r="E88" s="270"/>
      <c r="F88" s="794"/>
      <c r="G88" s="673"/>
      <c r="H88" s="673"/>
      <c r="I88" s="673"/>
      <c r="J88" s="673"/>
      <c r="K88" s="673"/>
      <c r="L88" s="673"/>
      <c r="M88" s="673"/>
      <c r="N88" s="673"/>
      <c r="O88" s="673"/>
      <c r="P88" s="673"/>
      <c r="Q88" s="673"/>
      <c r="R88" s="673"/>
      <c r="S88" s="673"/>
      <c r="T88" s="33">
        <f t="shared" si="63"/>
        <v>0</v>
      </c>
      <c r="U88" s="33">
        <f t="shared" si="63"/>
        <v>0</v>
      </c>
      <c r="V88" s="33">
        <f t="shared" si="63"/>
        <v>0</v>
      </c>
      <c r="W88" s="33">
        <f t="shared" si="63"/>
        <v>0</v>
      </c>
      <c r="X88" s="33">
        <f t="shared" si="63"/>
        <v>0</v>
      </c>
      <c r="Y88" s="71">
        <f t="shared" si="62"/>
        <v>0</v>
      </c>
      <c r="Z88" s="561">
        <f t="shared" si="51"/>
        <v>0</v>
      </c>
      <c r="AA88" s="566">
        <f t="shared" si="64"/>
        <v>0</v>
      </c>
      <c r="AB88" s="244">
        <f t="shared" si="64"/>
        <v>0</v>
      </c>
      <c r="AC88" s="244">
        <f t="shared" si="64"/>
        <v>0</v>
      </c>
      <c r="AD88" s="244">
        <f t="shared" si="64"/>
        <v>0</v>
      </c>
      <c r="AE88" s="244">
        <f t="shared" si="64"/>
        <v>0</v>
      </c>
      <c r="AF88" s="245">
        <f>SUM(AA88:AE88)</f>
        <v>0</v>
      </c>
      <c r="AG88" s="673"/>
      <c r="AH88" s="673"/>
      <c r="AI88" s="673"/>
      <c r="AJ88" s="673"/>
      <c r="AK88" s="673"/>
      <c r="AL88" s="673"/>
      <c r="AM88" s="673"/>
      <c r="AN88" s="673"/>
      <c r="AO88" s="658">
        <f>AO29</f>
        <v>0</v>
      </c>
      <c r="AP88" s="658"/>
      <c r="AQ88" s="32" t="str">
        <f>AQ29</f>
        <v>Senior Personnel</v>
      </c>
      <c r="AR88" s="270"/>
      <c r="AS88" s="175"/>
      <c r="AT88"/>
      <c r="AZ88" s="151"/>
    </row>
    <row r="89" spans="2:53" ht="45.75" customHeight="1" collapsed="1" thickTop="1" thickBot="1" x14ac:dyDescent="0.3">
      <c r="B89" s="732" t="s">
        <v>193</v>
      </c>
      <c r="C89" s="732"/>
      <c r="D89" s="732"/>
      <c r="E89" s="732"/>
      <c r="F89" s="732"/>
      <c r="G89" s="732"/>
      <c r="H89" s="732"/>
      <c r="I89" s="732"/>
      <c r="J89" s="354"/>
      <c r="K89" s="354"/>
      <c r="L89" s="354"/>
      <c r="M89" s="354"/>
      <c r="N89" s="354"/>
      <c r="O89" s="354"/>
      <c r="P89" s="354"/>
      <c r="Q89" s="354"/>
      <c r="R89" s="354"/>
      <c r="S89" s="354"/>
      <c r="T89" s="355">
        <f t="shared" ref="T89:Y89" si="65">ROUND(SUM(T70:T88),0)</f>
        <v>0</v>
      </c>
      <c r="U89" s="355">
        <f t="shared" si="65"/>
        <v>0</v>
      </c>
      <c r="V89" s="355">
        <f t="shared" si="65"/>
        <v>0</v>
      </c>
      <c r="W89" s="355">
        <f t="shared" si="65"/>
        <v>0</v>
      </c>
      <c r="X89" s="355">
        <f t="shared" si="65"/>
        <v>0</v>
      </c>
      <c r="Y89" s="355">
        <f t="shared" si="65"/>
        <v>0</v>
      </c>
      <c r="Z89" s="561">
        <f t="shared" si="51"/>
        <v>0</v>
      </c>
      <c r="AA89" s="442">
        <f t="shared" ref="AA89:AF89" si="66">SUM(AA70:AA88)</f>
        <v>0</v>
      </c>
      <c r="AB89" s="441">
        <f t="shared" si="66"/>
        <v>0</v>
      </c>
      <c r="AC89" s="441">
        <f t="shared" si="66"/>
        <v>0</v>
      </c>
      <c r="AD89" s="441">
        <f t="shared" si="66"/>
        <v>0</v>
      </c>
      <c r="AE89" s="441">
        <f t="shared" si="66"/>
        <v>0</v>
      </c>
      <c r="AF89" s="442">
        <f t="shared" si="66"/>
        <v>0</v>
      </c>
      <c r="AG89" s="406"/>
      <c r="AH89" s="713" t="s">
        <v>194</v>
      </c>
      <c r="AI89" s="713"/>
      <c r="AJ89" s="713"/>
      <c r="AK89" s="713"/>
      <c r="AL89" s="713"/>
      <c r="AM89" s="713"/>
      <c r="AN89" s="713"/>
      <c r="AO89" s="713"/>
      <c r="AP89" s="713"/>
      <c r="AQ89" s="713"/>
      <c r="AR89" s="713"/>
      <c r="AS89" s="713"/>
      <c r="AT89" s="713"/>
      <c r="AU89" s="713"/>
      <c r="AV89" s="713"/>
      <c r="AW89" s="713"/>
      <c r="AX89" s="713"/>
      <c r="AY89" s="713"/>
      <c r="AZ89" s="714"/>
      <c r="BA89" s="28"/>
    </row>
    <row r="90" spans="2:53" ht="52.5" customHeight="1" thickBot="1" x14ac:dyDescent="0.35">
      <c r="B90" s="721" t="s">
        <v>195</v>
      </c>
      <c r="C90" s="721"/>
      <c r="D90" s="721"/>
      <c r="E90" s="721"/>
      <c r="F90" s="721"/>
      <c r="G90" s="721"/>
      <c r="H90" s="721"/>
      <c r="I90" s="721"/>
      <c r="J90" s="721"/>
      <c r="K90" s="721"/>
      <c r="L90" s="721"/>
      <c r="M90" s="721"/>
      <c r="N90" s="721"/>
      <c r="O90" s="721"/>
      <c r="P90" s="721"/>
      <c r="Q90" s="721"/>
      <c r="R90" s="721"/>
      <c r="S90" s="721"/>
      <c r="T90" s="721"/>
      <c r="U90" s="721"/>
      <c r="V90" s="721"/>
      <c r="W90" s="721"/>
      <c r="X90" s="721"/>
      <c r="Y90" s="721"/>
      <c r="Z90" s="560"/>
      <c r="AA90" s="652" t="s">
        <v>195</v>
      </c>
      <c r="AB90" s="652"/>
      <c r="AC90" s="652"/>
      <c r="AD90" s="652"/>
      <c r="AE90" s="652"/>
      <c r="AF90" s="652"/>
      <c r="AG90" s="652"/>
      <c r="AH90" s="652"/>
      <c r="AI90" s="652"/>
      <c r="AJ90" s="652"/>
      <c r="AK90" s="652"/>
      <c r="AL90" s="652"/>
      <c r="AM90" s="652"/>
      <c r="AN90" s="652"/>
      <c r="AO90" s="652"/>
      <c r="AP90" s="652"/>
      <c r="AQ90" s="652"/>
      <c r="AR90" s="652"/>
      <c r="AS90" s="652"/>
      <c r="AT90" s="652"/>
      <c r="AU90" s="652"/>
      <c r="AV90" s="652"/>
      <c r="AW90" s="652"/>
      <c r="AX90" s="652"/>
      <c r="AY90" s="652"/>
      <c r="AZ90" s="652"/>
    </row>
    <row r="91" spans="2:53" ht="39.75" customHeight="1" thickTop="1" x14ac:dyDescent="0.25">
      <c r="B91" s="56" t="s">
        <v>144</v>
      </c>
      <c r="C91" s="54" t="s">
        <v>145</v>
      </c>
      <c r="D91" s="54"/>
      <c r="E91" s="57" t="s">
        <v>191</v>
      </c>
      <c r="F91" s="674" t="s">
        <v>192</v>
      </c>
      <c r="G91" s="674"/>
      <c r="H91" s="674"/>
      <c r="I91" s="674"/>
      <c r="J91" s="674"/>
      <c r="K91" s="674"/>
      <c r="L91" s="674"/>
      <c r="M91" s="674"/>
      <c r="N91" s="674"/>
      <c r="O91" s="674"/>
      <c r="P91" s="674"/>
      <c r="Q91" s="674"/>
      <c r="R91" s="674"/>
      <c r="S91" s="674"/>
      <c r="T91" s="52" t="s">
        <v>128</v>
      </c>
      <c r="U91" s="52" t="s">
        <v>129</v>
      </c>
      <c r="V91" s="52" t="s">
        <v>130</v>
      </c>
      <c r="W91" s="52" t="s">
        <v>131</v>
      </c>
      <c r="X91" s="52" t="s">
        <v>132</v>
      </c>
      <c r="Y91" s="378" t="s">
        <v>112</v>
      </c>
      <c r="Z91" s="561"/>
      <c r="AA91" s="55" t="s">
        <v>128</v>
      </c>
      <c r="AB91" s="55" t="s">
        <v>129</v>
      </c>
      <c r="AC91" s="55" t="s">
        <v>130</v>
      </c>
      <c r="AD91" s="55" t="s">
        <v>131</v>
      </c>
      <c r="AE91" s="55" t="s">
        <v>132</v>
      </c>
      <c r="AF91" s="378" t="s">
        <v>133</v>
      </c>
      <c r="AG91" s="674" t="s">
        <v>192</v>
      </c>
      <c r="AH91" s="674"/>
      <c r="AI91" s="674"/>
      <c r="AJ91" s="674"/>
      <c r="AK91" s="674"/>
      <c r="AL91" s="674"/>
      <c r="AM91" s="674"/>
      <c r="AN91" s="674"/>
      <c r="AO91" s="56" t="s">
        <v>144</v>
      </c>
      <c r="AP91" s="54" t="s">
        <v>145</v>
      </c>
      <c r="AQ91" s="54"/>
      <c r="AR91" s="57" t="s">
        <v>191</v>
      </c>
      <c r="AS91" s="176"/>
      <c r="AT91"/>
      <c r="AU91" s="176"/>
      <c r="AZ91" s="151"/>
    </row>
    <row r="92" spans="2:53" ht="25.5" customHeight="1" thickBot="1" x14ac:dyDescent="0.3">
      <c r="B92" s="34">
        <f>B33</f>
        <v>0</v>
      </c>
      <c r="C92" s="788" t="str">
        <f>C33</f>
        <v>Research Assistant</v>
      </c>
      <c r="D92" s="788"/>
      <c r="E92" s="271"/>
      <c r="F92" s="795"/>
      <c r="G92" s="795"/>
      <c r="H92" s="795"/>
      <c r="I92" s="795"/>
      <c r="J92" s="795"/>
      <c r="K92" s="795"/>
      <c r="L92" s="795"/>
      <c r="M92" s="795"/>
      <c r="N92" s="795"/>
      <c r="O92" s="795"/>
      <c r="P92" s="795"/>
      <c r="Q92" s="795"/>
      <c r="R92" s="795"/>
      <c r="S92" s="795"/>
      <c r="T92" s="33">
        <f t="shared" ref="T92:X101" si="67">ROUND($E92*T33,0)</f>
        <v>0</v>
      </c>
      <c r="U92" s="33">
        <f t="shared" si="67"/>
        <v>0</v>
      </c>
      <c r="V92" s="33">
        <f t="shared" si="67"/>
        <v>0</v>
      </c>
      <c r="W92" s="33">
        <f t="shared" si="67"/>
        <v>0</v>
      </c>
      <c r="X92" s="33">
        <f t="shared" si="67"/>
        <v>0</v>
      </c>
      <c r="Y92" s="71">
        <f>ROUND(SUM(T92:X92),0)</f>
        <v>0</v>
      </c>
      <c r="Z92" s="561">
        <f t="shared" ref="Z92:Z112" si="68">Y92+AF92</f>
        <v>0</v>
      </c>
      <c r="AA92" s="566">
        <f t="shared" ref="AA92:AE101" si="69">ROUND($AR92*AA33,0)</f>
        <v>0</v>
      </c>
      <c r="AB92" s="244">
        <f t="shared" si="69"/>
        <v>0</v>
      </c>
      <c r="AC92" s="244">
        <f t="shared" si="69"/>
        <v>0</v>
      </c>
      <c r="AD92" s="244">
        <f t="shared" si="69"/>
        <v>0</v>
      </c>
      <c r="AE92" s="244">
        <f t="shared" si="69"/>
        <v>0</v>
      </c>
      <c r="AF92" s="245">
        <f>SUM(AA92:AE92)</f>
        <v>0</v>
      </c>
      <c r="AG92" s="675"/>
      <c r="AH92" s="675"/>
      <c r="AI92" s="675"/>
      <c r="AJ92" s="675"/>
      <c r="AK92" s="675"/>
      <c r="AL92" s="675"/>
      <c r="AM92" s="675"/>
      <c r="AN92" s="675"/>
      <c r="AO92" s="34">
        <f>AO33</f>
        <v>0</v>
      </c>
      <c r="AP92" s="788" t="str">
        <f>AP33</f>
        <v>Research Assistant</v>
      </c>
      <c r="AQ92" s="788"/>
      <c r="AR92" s="271"/>
      <c r="AS92" s="177"/>
      <c r="AT92"/>
      <c r="AU92" s="177"/>
      <c r="AZ92" s="151"/>
    </row>
    <row r="93" spans="2:53" ht="25.5" customHeight="1" thickTop="1" thickBot="1" x14ac:dyDescent="0.3">
      <c r="B93" s="34">
        <f t="shared" ref="B93:B106" si="70">B34</f>
        <v>0</v>
      </c>
      <c r="C93" s="788" t="str">
        <f t="shared" ref="C93:C110" si="71">C34</f>
        <v>Post-Doc</v>
      </c>
      <c r="D93" s="788"/>
      <c r="E93" s="271"/>
      <c r="F93" s="795"/>
      <c r="G93" s="795"/>
      <c r="H93" s="795"/>
      <c r="I93" s="795"/>
      <c r="J93" s="795"/>
      <c r="K93" s="795"/>
      <c r="L93" s="795"/>
      <c r="M93" s="795"/>
      <c r="N93" s="795"/>
      <c r="O93" s="795"/>
      <c r="P93" s="795"/>
      <c r="Q93" s="795"/>
      <c r="R93" s="795"/>
      <c r="S93" s="795"/>
      <c r="T93" s="33">
        <f t="shared" si="67"/>
        <v>0</v>
      </c>
      <c r="U93" s="33">
        <f t="shared" si="67"/>
        <v>0</v>
      </c>
      <c r="V93" s="33">
        <f t="shared" si="67"/>
        <v>0</v>
      </c>
      <c r="W93" s="33">
        <f t="shared" si="67"/>
        <v>0</v>
      </c>
      <c r="X93" s="33">
        <f t="shared" si="67"/>
        <v>0</v>
      </c>
      <c r="Y93" s="71">
        <f t="shared" ref="Y93:Y101" si="72">ROUND(SUM(T93:X93),0)</f>
        <v>0</v>
      </c>
      <c r="Z93" s="561"/>
      <c r="AA93" s="566">
        <f t="shared" si="69"/>
        <v>0</v>
      </c>
      <c r="AB93" s="244">
        <f t="shared" si="69"/>
        <v>0</v>
      </c>
      <c r="AC93" s="244">
        <f t="shared" si="69"/>
        <v>0</v>
      </c>
      <c r="AD93" s="244">
        <f t="shared" si="69"/>
        <v>0</v>
      </c>
      <c r="AE93" s="244">
        <f t="shared" si="69"/>
        <v>0</v>
      </c>
      <c r="AF93" s="245">
        <f t="shared" ref="AF93:AF106" si="73">SUM(AA93:AE93)</f>
        <v>0</v>
      </c>
      <c r="AG93" s="675"/>
      <c r="AH93" s="675"/>
      <c r="AI93" s="675"/>
      <c r="AJ93" s="675"/>
      <c r="AK93" s="675"/>
      <c r="AL93" s="675"/>
      <c r="AM93" s="675"/>
      <c r="AN93" s="675"/>
      <c r="AO93" s="34">
        <f t="shared" ref="AO93:AP106" si="74">AO34</f>
        <v>0</v>
      </c>
      <c r="AP93" s="788" t="str">
        <f t="shared" si="74"/>
        <v>Post-Doc</v>
      </c>
      <c r="AQ93" s="788"/>
      <c r="AR93" s="271"/>
      <c r="AS93" s="177"/>
      <c r="AT93"/>
      <c r="AU93" s="177"/>
      <c r="AZ93" s="151"/>
    </row>
    <row r="94" spans="2:53" ht="25.5" customHeight="1" thickTop="1" thickBot="1" x14ac:dyDescent="0.3">
      <c r="B94" s="34">
        <f t="shared" si="70"/>
        <v>0</v>
      </c>
      <c r="C94" s="788" t="str">
        <f t="shared" si="71"/>
        <v xml:space="preserve">Undergrad - AY </v>
      </c>
      <c r="D94" s="788"/>
      <c r="E94" s="271">
        <v>4.1000000000000003E-3</v>
      </c>
      <c r="F94" s="795"/>
      <c r="G94" s="795"/>
      <c r="H94" s="795"/>
      <c r="I94" s="795"/>
      <c r="J94" s="795"/>
      <c r="K94" s="795"/>
      <c r="L94" s="795"/>
      <c r="M94" s="795"/>
      <c r="N94" s="795"/>
      <c r="O94" s="795"/>
      <c r="P94" s="795"/>
      <c r="Q94" s="795"/>
      <c r="R94" s="795"/>
      <c r="S94" s="795"/>
      <c r="T94" s="33">
        <f t="shared" si="67"/>
        <v>0</v>
      </c>
      <c r="U94" s="33">
        <f t="shared" si="67"/>
        <v>0</v>
      </c>
      <c r="V94" s="33">
        <f t="shared" si="67"/>
        <v>0</v>
      </c>
      <c r="W94" s="33">
        <f t="shared" si="67"/>
        <v>0</v>
      </c>
      <c r="X94" s="33">
        <f t="shared" si="67"/>
        <v>0</v>
      </c>
      <c r="Y94" s="71">
        <f t="shared" si="72"/>
        <v>0</v>
      </c>
      <c r="Z94" s="561"/>
      <c r="AA94" s="566">
        <f t="shared" si="69"/>
        <v>0</v>
      </c>
      <c r="AB94" s="244">
        <f t="shared" si="69"/>
        <v>0</v>
      </c>
      <c r="AC94" s="244">
        <f t="shared" si="69"/>
        <v>0</v>
      </c>
      <c r="AD94" s="244">
        <f t="shared" si="69"/>
        <v>0</v>
      </c>
      <c r="AE94" s="244">
        <f t="shared" si="69"/>
        <v>0</v>
      </c>
      <c r="AF94" s="245">
        <f t="shared" si="73"/>
        <v>0</v>
      </c>
      <c r="AG94" s="675"/>
      <c r="AH94" s="675"/>
      <c r="AI94" s="675"/>
      <c r="AJ94" s="675"/>
      <c r="AK94" s="675"/>
      <c r="AL94" s="675"/>
      <c r="AM94" s="675"/>
      <c r="AN94" s="675"/>
      <c r="AO94" s="34">
        <f t="shared" si="74"/>
        <v>0</v>
      </c>
      <c r="AP94" s="788" t="str">
        <f t="shared" si="74"/>
        <v xml:space="preserve">Undergrad - AY </v>
      </c>
      <c r="AQ94" s="788"/>
      <c r="AR94" s="271"/>
      <c r="AS94" s="177"/>
      <c r="AT94"/>
      <c r="AU94" s="177"/>
      <c r="AZ94" s="151"/>
    </row>
    <row r="95" spans="2:53" ht="25.5" customHeight="1" thickTop="1" thickBot="1" x14ac:dyDescent="0.3">
      <c r="B95" s="34">
        <f t="shared" si="70"/>
        <v>0</v>
      </c>
      <c r="C95" s="788" t="str">
        <f t="shared" si="71"/>
        <v>Undergrad - SM</v>
      </c>
      <c r="D95" s="788"/>
      <c r="E95" s="271">
        <v>8.0600000000000005E-2</v>
      </c>
      <c r="F95" s="795"/>
      <c r="G95" s="795"/>
      <c r="H95" s="795"/>
      <c r="I95" s="795"/>
      <c r="J95" s="795"/>
      <c r="K95" s="795"/>
      <c r="L95" s="795"/>
      <c r="M95" s="795"/>
      <c r="N95" s="795"/>
      <c r="O95" s="795"/>
      <c r="P95" s="795"/>
      <c r="Q95" s="795"/>
      <c r="R95" s="795"/>
      <c r="S95" s="795"/>
      <c r="T95" s="33">
        <f t="shared" si="67"/>
        <v>0</v>
      </c>
      <c r="U95" s="33">
        <f t="shared" si="67"/>
        <v>0</v>
      </c>
      <c r="V95" s="33">
        <f t="shared" si="67"/>
        <v>0</v>
      </c>
      <c r="W95" s="33">
        <f t="shared" si="67"/>
        <v>0</v>
      </c>
      <c r="X95" s="33">
        <f t="shared" si="67"/>
        <v>0</v>
      </c>
      <c r="Y95" s="71">
        <f t="shared" si="72"/>
        <v>0</v>
      </c>
      <c r="Z95" s="561"/>
      <c r="AA95" s="566">
        <f t="shared" si="69"/>
        <v>0</v>
      </c>
      <c r="AB95" s="244">
        <f t="shared" si="69"/>
        <v>0</v>
      </c>
      <c r="AC95" s="244">
        <f t="shared" si="69"/>
        <v>0</v>
      </c>
      <c r="AD95" s="244">
        <f t="shared" si="69"/>
        <v>0</v>
      </c>
      <c r="AE95" s="244">
        <f t="shared" si="69"/>
        <v>0</v>
      </c>
      <c r="AF95" s="245">
        <f t="shared" si="73"/>
        <v>0</v>
      </c>
      <c r="AG95" s="675"/>
      <c r="AH95" s="675"/>
      <c r="AI95" s="675"/>
      <c r="AJ95" s="675"/>
      <c r="AK95" s="675"/>
      <c r="AL95" s="675"/>
      <c r="AM95" s="675"/>
      <c r="AN95" s="675"/>
      <c r="AO95" s="34">
        <f t="shared" si="74"/>
        <v>0</v>
      </c>
      <c r="AP95" s="788" t="str">
        <f t="shared" si="74"/>
        <v>Undergrad - SM</v>
      </c>
      <c r="AQ95" s="788"/>
      <c r="AR95" s="271"/>
      <c r="AS95" s="177"/>
      <c r="AT95"/>
      <c r="AU95" s="177"/>
      <c r="AZ95" s="151"/>
    </row>
    <row r="96" spans="2:53" ht="25.5" customHeight="1" thickTop="1" thickBot="1" x14ac:dyDescent="0.3">
      <c r="B96" s="34">
        <f t="shared" si="70"/>
        <v>0</v>
      </c>
      <c r="C96" s="788" t="str">
        <f t="shared" si="71"/>
        <v>Temp Employee</v>
      </c>
      <c r="D96" s="788"/>
      <c r="E96" s="271"/>
      <c r="F96" s="795"/>
      <c r="G96" s="795"/>
      <c r="H96" s="795"/>
      <c r="I96" s="795"/>
      <c r="J96" s="795"/>
      <c r="K96" s="795"/>
      <c r="L96" s="795"/>
      <c r="M96" s="795"/>
      <c r="N96" s="795"/>
      <c r="O96" s="795"/>
      <c r="P96" s="795"/>
      <c r="Q96" s="795"/>
      <c r="R96" s="795"/>
      <c r="S96" s="795"/>
      <c r="T96" s="33">
        <f t="shared" si="67"/>
        <v>0</v>
      </c>
      <c r="U96" s="33">
        <f t="shared" si="67"/>
        <v>0</v>
      </c>
      <c r="V96" s="33">
        <f t="shared" si="67"/>
        <v>0</v>
      </c>
      <c r="W96" s="33">
        <f t="shared" si="67"/>
        <v>0</v>
      </c>
      <c r="X96" s="33">
        <f t="shared" si="67"/>
        <v>0</v>
      </c>
      <c r="Y96" s="71">
        <f t="shared" si="72"/>
        <v>0</v>
      </c>
      <c r="Z96" s="561"/>
      <c r="AA96" s="566">
        <f t="shared" si="69"/>
        <v>0</v>
      </c>
      <c r="AB96" s="244">
        <f t="shared" si="69"/>
        <v>0</v>
      </c>
      <c r="AC96" s="244">
        <f t="shared" si="69"/>
        <v>0</v>
      </c>
      <c r="AD96" s="244">
        <f t="shared" si="69"/>
        <v>0</v>
      </c>
      <c r="AE96" s="244">
        <f t="shared" si="69"/>
        <v>0</v>
      </c>
      <c r="AF96" s="245">
        <f t="shared" si="73"/>
        <v>0</v>
      </c>
      <c r="AG96" s="675"/>
      <c r="AH96" s="675"/>
      <c r="AI96" s="675"/>
      <c r="AJ96" s="675"/>
      <c r="AK96" s="675"/>
      <c r="AL96" s="675"/>
      <c r="AM96" s="675"/>
      <c r="AN96" s="675"/>
      <c r="AO96" s="34">
        <f t="shared" si="74"/>
        <v>0</v>
      </c>
      <c r="AP96" s="788" t="str">
        <f t="shared" si="74"/>
        <v>Temp Employee</v>
      </c>
      <c r="AQ96" s="788"/>
      <c r="AR96" s="271"/>
      <c r="AS96" s="177"/>
      <c r="AT96"/>
      <c r="AU96" s="177"/>
      <c r="AZ96" s="151"/>
    </row>
    <row r="97" spans="2:53" ht="25.5" customHeight="1" thickTop="1" thickBot="1" x14ac:dyDescent="0.3">
      <c r="B97" s="34">
        <f t="shared" si="70"/>
        <v>0</v>
      </c>
      <c r="C97" s="788" t="str">
        <f t="shared" si="71"/>
        <v>Student Worker</v>
      </c>
      <c r="D97" s="788"/>
      <c r="E97" s="271"/>
      <c r="F97" s="795"/>
      <c r="G97" s="795"/>
      <c r="H97" s="795"/>
      <c r="I97" s="795"/>
      <c r="J97" s="795"/>
      <c r="K97" s="795"/>
      <c r="L97" s="795"/>
      <c r="M97" s="795"/>
      <c r="N97" s="795"/>
      <c r="O97" s="795"/>
      <c r="P97" s="795"/>
      <c r="Q97" s="795"/>
      <c r="R97" s="795"/>
      <c r="S97" s="795"/>
      <c r="T97" s="33">
        <f t="shared" si="67"/>
        <v>0</v>
      </c>
      <c r="U97" s="33">
        <f t="shared" si="67"/>
        <v>0</v>
      </c>
      <c r="V97" s="33">
        <f t="shared" si="67"/>
        <v>0</v>
      </c>
      <c r="W97" s="33">
        <f t="shared" si="67"/>
        <v>0</v>
      </c>
      <c r="X97" s="33">
        <f t="shared" si="67"/>
        <v>0</v>
      </c>
      <c r="Y97" s="71">
        <f t="shared" si="72"/>
        <v>0</v>
      </c>
      <c r="Z97" s="561"/>
      <c r="AA97" s="566">
        <f t="shared" si="69"/>
        <v>0</v>
      </c>
      <c r="AB97" s="244">
        <f t="shared" si="69"/>
        <v>0</v>
      </c>
      <c r="AC97" s="244">
        <f t="shared" si="69"/>
        <v>0</v>
      </c>
      <c r="AD97" s="244">
        <f t="shared" si="69"/>
        <v>0</v>
      </c>
      <c r="AE97" s="244">
        <f t="shared" si="69"/>
        <v>0</v>
      </c>
      <c r="AF97" s="245">
        <f t="shared" si="73"/>
        <v>0</v>
      </c>
      <c r="AG97" s="675"/>
      <c r="AH97" s="675"/>
      <c r="AI97" s="675"/>
      <c r="AJ97" s="675"/>
      <c r="AK97" s="675"/>
      <c r="AL97" s="675"/>
      <c r="AM97" s="675"/>
      <c r="AN97" s="675"/>
      <c r="AO97" s="34">
        <f t="shared" si="74"/>
        <v>0</v>
      </c>
      <c r="AP97" s="788" t="str">
        <f t="shared" si="74"/>
        <v>Student Worker</v>
      </c>
      <c r="AQ97" s="788"/>
      <c r="AR97" s="271"/>
      <c r="AS97" s="177"/>
      <c r="AT97"/>
      <c r="AU97" s="177"/>
      <c r="AZ97" s="151"/>
    </row>
    <row r="98" spans="2:53" ht="25.5" customHeight="1" thickTop="1" thickBot="1" x14ac:dyDescent="0.3">
      <c r="B98" s="34">
        <f t="shared" si="70"/>
        <v>0</v>
      </c>
      <c r="C98" s="788">
        <f t="shared" si="71"/>
        <v>0</v>
      </c>
      <c r="D98" s="788"/>
      <c r="E98" s="271"/>
      <c r="F98" s="795"/>
      <c r="G98" s="795"/>
      <c r="H98" s="795"/>
      <c r="I98" s="795"/>
      <c r="J98" s="795"/>
      <c r="K98" s="795"/>
      <c r="L98" s="795"/>
      <c r="M98" s="795"/>
      <c r="N98" s="795"/>
      <c r="O98" s="795"/>
      <c r="P98" s="795"/>
      <c r="Q98" s="795"/>
      <c r="R98" s="795"/>
      <c r="S98" s="795"/>
      <c r="T98" s="33">
        <f t="shared" si="67"/>
        <v>0</v>
      </c>
      <c r="U98" s="33">
        <f t="shared" si="67"/>
        <v>0</v>
      </c>
      <c r="V98" s="33">
        <f t="shared" si="67"/>
        <v>0</v>
      </c>
      <c r="W98" s="33">
        <f t="shared" si="67"/>
        <v>0</v>
      </c>
      <c r="X98" s="33">
        <f t="shared" si="67"/>
        <v>0</v>
      </c>
      <c r="Y98" s="71">
        <f t="shared" si="72"/>
        <v>0</v>
      </c>
      <c r="Z98" s="561"/>
      <c r="AA98" s="566">
        <f t="shared" si="69"/>
        <v>0</v>
      </c>
      <c r="AB98" s="244">
        <f t="shared" si="69"/>
        <v>0</v>
      </c>
      <c r="AC98" s="244">
        <f t="shared" si="69"/>
        <v>0</v>
      </c>
      <c r="AD98" s="244">
        <f t="shared" si="69"/>
        <v>0</v>
      </c>
      <c r="AE98" s="244">
        <f t="shared" si="69"/>
        <v>0</v>
      </c>
      <c r="AF98" s="245">
        <f t="shared" si="73"/>
        <v>0</v>
      </c>
      <c r="AG98" s="675"/>
      <c r="AH98" s="675"/>
      <c r="AI98" s="675"/>
      <c r="AJ98" s="675"/>
      <c r="AK98" s="675"/>
      <c r="AL98" s="675"/>
      <c r="AM98" s="675"/>
      <c r="AN98" s="675"/>
      <c r="AO98" s="34">
        <f t="shared" si="74"/>
        <v>0</v>
      </c>
      <c r="AP98" s="788">
        <f t="shared" si="74"/>
        <v>0</v>
      </c>
      <c r="AQ98" s="788"/>
      <c r="AR98" s="271"/>
      <c r="AS98" s="177"/>
      <c r="AT98"/>
      <c r="AU98" s="177"/>
      <c r="AZ98" s="151"/>
    </row>
    <row r="99" spans="2:53" ht="25.5" customHeight="1" thickTop="1" thickBot="1" x14ac:dyDescent="0.3">
      <c r="B99" s="34">
        <f t="shared" si="70"/>
        <v>0</v>
      </c>
      <c r="C99" s="788">
        <f t="shared" si="71"/>
        <v>0</v>
      </c>
      <c r="D99" s="788"/>
      <c r="E99" s="271"/>
      <c r="F99" s="795"/>
      <c r="G99" s="795"/>
      <c r="H99" s="795"/>
      <c r="I99" s="795"/>
      <c r="J99" s="795"/>
      <c r="K99" s="795"/>
      <c r="L99" s="795"/>
      <c r="M99" s="795"/>
      <c r="N99" s="795"/>
      <c r="O99" s="795"/>
      <c r="P99" s="795"/>
      <c r="Q99" s="795"/>
      <c r="R99" s="795"/>
      <c r="S99" s="795"/>
      <c r="T99" s="33">
        <f t="shared" si="67"/>
        <v>0</v>
      </c>
      <c r="U99" s="33">
        <f t="shared" si="67"/>
        <v>0</v>
      </c>
      <c r="V99" s="33">
        <f t="shared" si="67"/>
        <v>0</v>
      </c>
      <c r="W99" s="33">
        <f t="shared" si="67"/>
        <v>0</v>
      </c>
      <c r="X99" s="33">
        <f t="shared" si="67"/>
        <v>0</v>
      </c>
      <c r="Y99" s="71">
        <f t="shared" si="72"/>
        <v>0</v>
      </c>
      <c r="Z99" s="561"/>
      <c r="AA99" s="566">
        <f t="shared" si="69"/>
        <v>0</v>
      </c>
      <c r="AB99" s="244">
        <f t="shared" si="69"/>
        <v>0</v>
      </c>
      <c r="AC99" s="244">
        <f t="shared" si="69"/>
        <v>0</v>
      </c>
      <c r="AD99" s="244">
        <f t="shared" si="69"/>
        <v>0</v>
      </c>
      <c r="AE99" s="244">
        <f t="shared" si="69"/>
        <v>0</v>
      </c>
      <c r="AF99" s="245">
        <f t="shared" si="73"/>
        <v>0</v>
      </c>
      <c r="AG99" s="675"/>
      <c r="AH99" s="675"/>
      <c r="AI99" s="675"/>
      <c r="AJ99" s="675"/>
      <c r="AK99" s="675"/>
      <c r="AL99" s="675"/>
      <c r="AM99" s="675"/>
      <c r="AN99" s="675"/>
      <c r="AO99" s="34">
        <f t="shared" si="74"/>
        <v>0</v>
      </c>
      <c r="AP99" s="788">
        <f t="shared" si="74"/>
        <v>0</v>
      </c>
      <c r="AQ99" s="788"/>
      <c r="AR99" s="271"/>
      <c r="AS99" s="177"/>
      <c r="AT99"/>
      <c r="AU99" s="177"/>
      <c r="AZ99" s="151"/>
    </row>
    <row r="100" spans="2:53" ht="25.5" customHeight="1" thickTop="1" thickBot="1" x14ac:dyDescent="0.3">
      <c r="B100" s="34">
        <f t="shared" si="70"/>
        <v>0</v>
      </c>
      <c r="C100" s="788">
        <f t="shared" si="71"/>
        <v>0</v>
      </c>
      <c r="D100" s="788"/>
      <c r="E100" s="271"/>
      <c r="F100" s="795"/>
      <c r="G100" s="795"/>
      <c r="H100" s="795"/>
      <c r="I100" s="795"/>
      <c r="J100" s="795"/>
      <c r="K100" s="795"/>
      <c r="L100" s="795"/>
      <c r="M100" s="795"/>
      <c r="N100" s="795"/>
      <c r="O100" s="795"/>
      <c r="P100" s="795"/>
      <c r="Q100" s="795"/>
      <c r="R100" s="795"/>
      <c r="S100" s="795"/>
      <c r="T100" s="33">
        <f t="shared" si="67"/>
        <v>0</v>
      </c>
      <c r="U100" s="33">
        <f t="shared" si="67"/>
        <v>0</v>
      </c>
      <c r="V100" s="33">
        <f t="shared" si="67"/>
        <v>0</v>
      </c>
      <c r="W100" s="33">
        <f t="shared" si="67"/>
        <v>0</v>
      </c>
      <c r="X100" s="33">
        <f t="shared" si="67"/>
        <v>0</v>
      </c>
      <c r="Y100" s="71">
        <f t="shared" si="72"/>
        <v>0</v>
      </c>
      <c r="Z100" s="561"/>
      <c r="AA100" s="566">
        <f t="shared" si="69"/>
        <v>0</v>
      </c>
      <c r="AB100" s="244">
        <f t="shared" si="69"/>
        <v>0</v>
      </c>
      <c r="AC100" s="244">
        <f t="shared" si="69"/>
        <v>0</v>
      </c>
      <c r="AD100" s="244">
        <f t="shared" si="69"/>
        <v>0</v>
      </c>
      <c r="AE100" s="244">
        <f t="shared" si="69"/>
        <v>0</v>
      </c>
      <c r="AF100" s="245">
        <f t="shared" si="73"/>
        <v>0</v>
      </c>
      <c r="AG100" s="675"/>
      <c r="AH100" s="675"/>
      <c r="AI100" s="675"/>
      <c r="AJ100" s="675"/>
      <c r="AK100" s="675"/>
      <c r="AL100" s="675"/>
      <c r="AM100" s="675"/>
      <c r="AN100" s="675"/>
      <c r="AO100" s="34">
        <f t="shared" si="74"/>
        <v>0</v>
      </c>
      <c r="AP100" s="788">
        <f t="shared" si="74"/>
        <v>0</v>
      </c>
      <c r="AQ100" s="788"/>
      <c r="AR100" s="271"/>
      <c r="AS100" s="177"/>
      <c r="AT100"/>
      <c r="AU100" s="177"/>
      <c r="AZ100" s="151"/>
    </row>
    <row r="101" spans="2:53" ht="25.5" customHeight="1" thickTop="1" thickBot="1" x14ac:dyDescent="0.3">
      <c r="B101" s="34">
        <f t="shared" si="70"/>
        <v>0</v>
      </c>
      <c r="C101" s="788">
        <f t="shared" si="71"/>
        <v>0</v>
      </c>
      <c r="D101" s="788"/>
      <c r="E101" s="271"/>
      <c r="F101" s="795"/>
      <c r="G101" s="795"/>
      <c r="H101" s="795"/>
      <c r="I101" s="795"/>
      <c r="J101" s="795"/>
      <c r="K101" s="795"/>
      <c r="L101" s="795"/>
      <c r="M101" s="795"/>
      <c r="N101" s="795"/>
      <c r="O101" s="795"/>
      <c r="P101" s="795"/>
      <c r="Q101" s="795"/>
      <c r="R101" s="795"/>
      <c r="S101" s="795"/>
      <c r="T101" s="33">
        <f t="shared" si="67"/>
        <v>0</v>
      </c>
      <c r="U101" s="33">
        <f t="shared" si="67"/>
        <v>0</v>
      </c>
      <c r="V101" s="33">
        <f t="shared" si="67"/>
        <v>0</v>
      </c>
      <c r="W101" s="33">
        <f t="shared" si="67"/>
        <v>0</v>
      </c>
      <c r="X101" s="33">
        <f t="shared" si="67"/>
        <v>0</v>
      </c>
      <c r="Y101" s="71">
        <f t="shared" si="72"/>
        <v>0</v>
      </c>
      <c r="Z101" s="561"/>
      <c r="AA101" s="566">
        <f t="shared" si="69"/>
        <v>0</v>
      </c>
      <c r="AB101" s="244">
        <f t="shared" si="69"/>
        <v>0</v>
      </c>
      <c r="AC101" s="244">
        <f t="shared" si="69"/>
        <v>0</v>
      </c>
      <c r="AD101" s="244">
        <f t="shared" si="69"/>
        <v>0</v>
      </c>
      <c r="AE101" s="244">
        <f t="shared" si="69"/>
        <v>0</v>
      </c>
      <c r="AF101" s="245">
        <f t="shared" si="73"/>
        <v>0</v>
      </c>
      <c r="AG101" s="675"/>
      <c r="AH101" s="675"/>
      <c r="AI101" s="675"/>
      <c r="AJ101" s="675"/>
      <c r="AK101" s="675"/>
      <c r="AL101" s="675"/>
      <c r="AM101" s="675"/>
      <c r="AN101" s="675"/>
      <c r="AO101" s="34">
        <f t="shared" si="74"/>
        <v>0</v>
      </c>
      <c r="AP101" s="788">
        <f t="shared" si="74"/>
        <v>0</v>
      </c>
      <c r="AQ101" s="788"/>
      <c r="AR101" s="271"/>
      <c r="AS101" s="177"/>
      <c r="AT101"/>
      <c r="AU101" s="177"/>
      <c r="AZ101" s="151"/>
    </row>
    <row r="102" spans="2:53" ht="25.5" hidden="1" customHeight="1" outlineLevel="1" thickTop="1" thickBot="1" x14ac:dyDescent="0.3">
      <c r="B102" s="34">
        <f t="shared" si="70"/>
        <v>0</v>
      </c>
      <c r="C102" s="788">
        <f t="shared" si="71"/>
        <v>0</v>
      </c>
      <c r="D102" s="788"/>
      <c r="E102" s="271"/>
      <c r="F102" s="795"/>
      <c r="G102" s="795"/>
      <c r="H102" s="795"/>
      <c r="I102" s="795"/>
      <c r="J102" s="795"/>
      <c r="K102" s="795"/>
      <c r="L102" s="795"/>
      <c r="M102" s="795"/>
      <c r="N102" s="795"/>
      <c r="O102" s="795"/>
      <c r="P102" s="795"/>
      <c r="Q102" s="795"/>
      <c r="R102" s="795"/>
      <c r="S102" s="795"/>
      <c r="T102" s="33">
        <f t="shared" ref="T102:X111" si="75">ROUND($E102*T43,0)</f>
        <v>0</v>
      </c>
      <c r="U102" s="33">
        <f t="shared" si="75"/>
        <v>0</v>
      </c>
      <c r="V102" s="33">
        <f t="shared" si="75"/>
        <v>0</v>
      </c>
      <c r="W102" s="33">
        <f t="shared" si="75"/>
        <v>0</v>
      </c>
      <c r="X102" s="33">
        <f t="shared" si="75"/>
        <v>0</v>
      </c>
      <c r="Y102" s="574">
        <f t="shared" ref="Y102:Y106" si="76">SUM(T102:X102)</f>
        <v>0</v>
      </c>
      <c r="Z102" s="561"/>
      <c r="AA102" s="566">
        <f t="shared" ref="AA102:AE111" si="77">ROUND($AR102*AA43,0)</f>
        <v>0</v>
      </c>
      <c r="AB102" s="244">
        <f t="shared" si="77"/>
        <v>0</v>
      </c>
      <c r="AC102" s="244">
        <f t="shared" si="77"/>
        <v>0</v>
      </c>
      <c r="AD102" s="244">
        <f t="shared" si="77"/>
        <v>0</v>
      </c>
      <c r="AE102" s="244">
        <f t="shared" si="77"/>
        <v>0</v>
      </c>
      <c r="AF102" s="245">
        <f t="shared" si="73"/>
        <v>0</v>
      </c>
      <c r="AG102" s="675"/>
      <c r="AH102" s="675"/>
      <c r="AI102" s="675"/>
      <c r="AJ102" s="675"/>
      <c r="AK102" s="675"/>
      <c r="AL102" s="675"/>
      <c r="AM102" s="675"/>
      <c r="AN102" s="675"/>
      <c r="AO102" s="34">
        <f t="shared" si="74"/>
        <v>0</v>
      </c>
      <c r="AP102" s="788">
        <f t="shared" si="74"/>
        <v>0</v>
      </c>
      <c r="AQ102" s="788"/>
      <c r="AR102" s="271"/>
      <c r="AS102" s="177"/>
      <c r="AT102"/>
      <c r="AU102" s="177"/>
      <c r="AZ102" s="151"/>
    </row>
    <row r="103" spans="2:53" ht="25.5" hidden="1" customHeight="1" outlineLevel="1" thickTop="1" thickBot="1" x14ac:dyDescent="0.3">
      <c r="B103" s="34">
        <f t="shared" si="70"/>
        <v>0</v>
      </c>
      <c r="C103" s="788">
        <f t="shared" si="71"/>
        <v>0</v>
      </c>
      <c r="D103" s="788"/>
      <c r="E103" s="271"/>
      <c r="F103" s="795"/>
      <c r="G103" s="795"/>
      <c r="H103" s="795"/>
      <c r="I103" s="795"/>
      <c r="J103" s="795"/>
      <c r="K103" s="795"/>
      <c r="L103" s="795"/>
      <c r="M103" s="795"/>
      <c r="N103" s="795"/>
      <c r="O103" s="795"/>
      <c r="P103" s="795"/>
      <c r="Q103" s="795"/>
      <c r="R103" s="795"/>
      <c r="S103" s="795"/>
      <c r="T103" s="33">
        <f t="shared" si="75"/>
        <v>0</v>
      </c>
      <c r="U103" s="33">
        <f t="shared" si="75"/>
        <v>0</v>
      </c>
      <c r="V103" s="33">
        <f t="shared" si="75"/>
        <v>0</v>
      </c>
      <c r="W103" s="33">
        <f t="shared" si="75"/>
        <v>0</v>
      </c>
      <c r="X103" s="33">
        <f t="shared" si="75"/>
        <v>0</v>
      </c>
      <c r="Y103" s="574">
        <f t="shared" si="76"/>
        <v>0</v>
      </c>
      <c r="Z103" s="561">
        <f t="shared" si="68"/>
        <v>0</v>
      </c>
      <c r="AA103" s="566">
        <f t="shared" si="77"/>
        <v>0</v>
      </c>
      <c r="AB103" s="244">
        <f t="shared" si="77"/>
        <v>0</v>
      </c>
      <c r="AC103" s="244">
        <f t="shared" si="77"/>
        <v>0</v>
      </c>
      <c r="AD103" s="244">
        <f t="shared" si="77"/>
        <v>0</v>
      </c>
      <c r="AE103" s="244">
        <f t="shared" si="77"/>
        <v>0</v>
      </c>
      <c r="AF103" s="245">
        <f t="shared" si="73"/>
        <v>0</v>
      </c>
      <c r="AG103" s="675"/>
      <c r="AH103" s="675"/>
      <c r="AI103" s="675"/>
      <c r="AJ103" s="675"/>
      <c r="AK103" s="675"/>
      <c r="AL103" s="675"/>
      <c r="AM103" s="675"/>
      <c r="AN103" s="675"/>
      <c r="AO103" s="34">
        <f t="shared" si="74"/>
        <v>0</v>
      </c>
      <c r="AP103" s="788">
        <f t="shared" si="74"/>
        <v>0</v>
      </c>
      <c r="AQ103" s="788"/>
      <c r="AR103" s="271"/>
      <c r="AS103" s="177"/>
      <c r="AT103"/>
      <c r="AU103" s="177"/>
      <c r="AZ103" s="151"/>
    </row>
    <row r="104" spans="2:53" ht="25.5" hidden="1" customHeight="1" outlineLevel="1" thickTop="1" thickBot="1" x14ac:dyDescent="0.3">
      <c r="B104" s="34">
        <f t="shared" si="70"/>
        <v>0</v>
      </c>
      <c r="C104" s="788">
        <f t="shared" si="71"/>
        <v>0</v>
      </c>
      <c r="D104" s="788"/>
      <c r="E104" s="271"/>
      <c r="F104" s="795"/>
      <c r="G104" s="795"/>
      <c r="H104" s="795"/>
      <c r="I104" s="795"/>
      <c r="J104" s="795"/>
      <c r="K104" s="795"/>
      <c r="L104" s="795"/>
      <c r="M104" s="795"/>
      <c r="N104" s="795"/>
      <c r="O104" s="795"/>
      <c r="P104" s="795"/>
      <c r="Q104" s="795"/>
      <c r="R104" s="795"/>
      <c r="S104" s="795"/>
      <c r="T104" s="33">
        <f t="shared" si="75"/>
        <v>0</v>
      </c>
      <c r="U104" s="33">
        <f t="shared" si="75"/>
        <v>0</v>
      </c>
      <c r="V104" s="33">
        <f t="shared" si="75"/>
        <v>0</v>
      </c>
      <c r="W104" s="33">
        <f t="shared" si="75"/>
        <v>0</v>
      </c>
      <c r="X104" s="33">
        <f t="shared" si="75"/>
        <v>0</v>
      </c>
      <c r="Y104" s="574">
        <f t="shared" si="76"/>
        <v>0</v>
      </c>
      <c r="Z104" s="561">
        <f t="shared" si="68"/>
        <v>0</v>
      </c>
      <c r="AA104" s="566">
        <f t="shared" si="77"/>
        <v>0</v>
      </c>
      <c r="AB104" s="244">
        <f t="shared" si="77"/>
        <v>0</v>
      </c>
      <c r="AC104" s="244">
        <f t="shared" si="77"/>
        <v>0</v>
      </c>
      <c r="AD104" s="244">
        <f t="shared" si="77"/>
        <v>0</v>
      </c>
      <c r="AE104" s="244">
        <f t="shared" si="77"/>
        <v>0</v>
      </c>
      <c r="AF104" s="245">
        <f t="shared" si="73"/>
        <v>0</v>
      </c>
      <c r="AG104" s="675"/>
      <c r="AH104" s="675"/>
      <c r="AI104" s="675"/>
      <c r="AJ104" s="675"/>
      <c r="AK104" s="675"/>
      <c r="AL104" s="675"/>
      <c r="AM104" s="675"/>
      <c r="AN104" s="675"/>
      <c r="AO104" s="34">
        <f t="shared" si="74"/>
        <v>0</v>
      </c>
      <c r="AP104" s="788">
        <f t="shared" si="74"/>
        <v>0</v>
      </c>
      <c r="AQ104" s="788"/>
      <c r="AR104" s="271"/>
      <c r="AS104" s="177"/>
      <c r="AT104"/>
      <c r="AU104" s="177"/>
      <c r="AZ104" s="151"/>
    </row>
    <row r="105" spans="2:53" ht="25.5" hidden="1" customHeight="1" outlineLevel="1" thickTop="1" thickBot="1" x14ac:dyDescent="0.3">
      <c r="B105" s="34">
        <f t="shared" si="70"/>
        <v>0</v>
      </c>
      <c r="C105" s="788">
        <f t="shared" si="71"/>
        <v>0</v>
      </c>
      <c r="D105" s="788"/>
      <c r="E105" s="271"/>
      <c r="F105" s="795"/>
      <c r="G105" s="795"/>
      <c r="H105" s="795"/>
      <c r="I105" s="795"/>
      <c r="J105" s="795"/>
      <c r="K105" s="795"/>
      <c r="L105" s="795"/>
      <c r="M105" s="795"/>
      <c r="N105" s="795"/>
      <c r="O105" s="795"/>
      <c r="P105" s="795"/>
      <c r="Q105" s="795"/>
      <c r="R105" s="795"/>
      <c r="S105" s="795"/>
      <c r="T105" s="33">
        <f t="shared" si="75"/>
        <v>0</v>
      </c>
      <c r="U105" s="33">
        <f t="shared" si="75"/>
        <v>0</v>
      </c>
      <c r="V105" s="33">
        <f t="shared" si="75"/>
        <v>0</v>
      </c>
      <c r="W105" s="33">
        <f t="shared" si="75"/>
        <v>0</v>
      </c>
      <c r="X105" s="33">
        <f t="shared" si="75"/>
        <v>0</v>
      </c>
      <c r="Y105" s="574">
        <f t="shared" si="76"/>
        <v>0</v>
      </c>
      <c r="Z105" s="561"/>
      <c r="AA105" s="566">
        <f t="shared" si="77"/>
        <v>0</v>
      </c>
      <c r="AB105" s="244">
        <f t="shared" si="77"/>
        <v>0</v>
      </c>
      <c r="AC105" s="244">
        <f t="shared" si="77"/>
        <v>0</v>
      </c>
      <c r="AD105" s="244">
        <f t="shared" si="77"/>
        <v>0</v>
      </c>
      <c r="AE105" s="244">
        <f t="shared" si="77"/>
        <v>0</v>
      </c>
      <c r="AF105" s="245">
        <f t="shared" si="73"/>
        <v>0</v>
      </c>
      <c r="AG105" s="675"/>
      <c r="AH105" s="675"/>
      <c r="AI105" s="675"/>
      <c r="AJ105" s="675"/>
      <c r="AK105" s="675"/>
      <c r="AL105" s="675"/>
      <c r="AM105" s="675"/>
      <c r="AN105" s="675"/>
      <c r="AO105" s="34">
        <f t="shared" si="74"/>
        <v>0</v>
      </c>
      <c r="AP105" s="788">
        <f t="shared" si="74"/>
        <v>0</v>
      </c>
      <c r="AQ105" s="788"/>
      <c r="AR105" s="271"/>
      <c r="AS105" s="177"/>
      <c r="AT105"/>
      <c r="AU105" s="177"/>
      <c r="AZ105" s="151"/>
    </row>
    <row r="106" spans="2:53" ht="25.5" hidden="1" customHeight="1" outlineLevel="1" thickTop="1" thickBot="1" x14ac:dyDescent="0.3">
      <c r="B106" s="34">
        <f t="shared" si="70"/>
        <v>0</v>
      </c>
      <c r="C106" s="788">
        <f t="shared" si="71"/>
        <v>0</v>
      </c>
      <c r="D106" s="788"/>
      <c r="E106" s="271"/>
      <c r="F106" s="795"/>
      <c r="G106" s="795"/>
      <c r="H106" s="795"/>
      <c r="I106" s="795"/>
      <c r="J106" s="795"/>
      <c r="K106" s="795"/>
      <c r="L106" s="795"/>
      <c r="M106" s="795"/>
      <c r="N106" s="795"/>
      <c r="O106" s="795"/>
      <c r="P106" s="795"/>
      <c r="Q106" s="795"/>
      <c r="R106" s="795"/>
      <c r="S106" s="795"/>
      <c r="T106" s="33">
        <f t="shared" si="75"/>
        <v>0</v>
      </c>
      <c r="U106" s="33">
        <f t="shared" si="75"/>
        <v>0</v>
      </c>
      <c r="V106" s="33">
        <f t="shared" si="75"/>
        <v>0</v>
      </c>
      <c r="W106" s="33">
        <f t="shared" si="75"/>
        <v>0</v>
      </c>
      <c r="X106" s="33">
        <f t="shared" si="75"/>
        <v>0</v>
      </c>
      <c r="Y106" s="574">
        <f t="shared" si="76"/>
        <v>0</v>
      </c>
      <c r="Z106" s="561"/>
      <c r="AA106" s="566">
        <f t="shared" si="77"/>
        <v>0</v>
      </c>
      <c r="AB106" s="244">
        <f t="shared" si="77"/>
        <v>0</v>
      </c>
      <c r="AC106" s="244">
        <f t="shared" si="77"/>
        <v>0</v>
      </c>
      <c r="AD106" s="244">
        <f t="shared" si="77"/>
        <v>0</v>
      </c>
      <c r="AE106" s="244">
        <f t="shared" si="77"/>
        <v>0</v>
      </c>
      <c r="AF106" s="245">
        <f t="shared" si="73"/>
        <v>0</v>
      </c>
      <c r="AG106" s="675"/>
      <c r="AH106" s="675"/>
      <c r="AI106" s="675"/>
      <c r="AJ106" s="675"/>
      <c r="AK106" s="675"/>
      <c r="AL106" s="675"/>
      <c r="AM106" s="675"/>
      <c r="AN106" s="675"/>
      <c r="AO106" s="34">
        <f t="shared" si="74"/>
        <v>0</v>
      </c>
      <c r="AP106" s="788">
        <f t="shared" si="74"/>
        <v>0</v>
      </c>
      <c r="AQ106" s="788"/>
      <c r="AR106" s="271"/>
      <c r="AS106" s="177"/>
      <c r="AT106"/>
      <c r="AU106" s="177"/>
      <c r="AZ106" s="151"/>
    </row>
    <row r="107" spans="2:53" ht="25.5" hidden="1" customHeight="1" outlineLevel="1" thickTop="1" thickBot="1" x14ac:dyDescent="0.3">
      <c r="B107" s="34">
        <f>B48</f>
        <v>0</v>
      </c>
      <c r="C107" s="788">
        <f t="shared" si="71"/>
        <v>0</v>
      </c>
      <c r="D107" s="788"/>
      <c r="E107" s="271"/>
      <c r="F107" s="795"/>
      <c r="G107" s="795"/>
      <c r="H107" s="795"/>
      <c r="I107" s="795"/>
      <c r="J107" s="795"/>
      <c r="K107" s="795"/>
      <c r="L107" s="795"/>
      <c r="M107" s="795"/>
      <c r="N107" s="795"/>
      <c r="O107" s="795"/>
      <c r="P107" s="795"/>
      <c r="Q107" s="795"/>
      <c r="R107" s="795"/>
      <c r="S107" s="795"/>
      <c r="T107" s="33">
        <f t="shared" si="75"/>
        <v>0</v>
      </c>
      <c r="U107" s="33">
        <f t="shared" si="75"/>
        <v>0</v>
      </c>
      <c r="V107" s="33">
        <f t="shared" si="75"/>
        <v>0</v>
      </c>
      <c r="W107" s="33">
        <f t="shared" si="75"/>
        <v>0</v>
      </c>
      <c r="X107" s="33">
        <f t="shared" si="75"/>
        <v>0</v>
      </c>
      <c r="Y107" s="574">
        <f t="shared" ref="Y107:Y111" si="78">SUM(T107:X107)</f>
        <v>0</v>
      </c>
      <c r="Z107" s="561">
        <f t="shared" si="68"/>
        <v>0</v>
      </c>
      <c r="AA107" s="566">
        <f t="shared" si="77"/>
        <v>0</v>
      </c>
      <c r="AB107" s="244">
        <f t="shared" si="77"/>
        <v>0</v>
      </c>
      <c r="AC107" s="244">
        <f t="shared" si="77"/>
        <v>0</v>
      </c>
      <c r="AD107" s="244">
        <f t="shared" si="77"/>
        <v>0</v>
      </c>
      <c r="AE107" s="244">
        <f t="shared" si="77"/>
        <v>0</v>
      </c>
      <c r="AF107" s="245">
        <f>SUM(AA107:AE107)</f>
        <v>0</v>
      </c>
      <c r="AG107" s="675"/>
      <c r="AH107" s="675"/>
      <c r="AI107" s="675"/>
      <c r="AJ107" s="675"/>
      <c r="AK107" s="675"/>
      <c r="AL107" s="675"/>
      <c r="AM107" s="675"/>
      <c r="AN107" s="675"/>
      <c r="AO107" s="34">
        <f t="shared" ref="AO107:AP111" si="79">AO48</f>
        <v>0</v>
      </c>
      <c r="AP107" s="788">
        <f t="shared" si="79"/>
        <v>0</v>
      </c>
      <c r="AQ107" s="788"/>
      <c r="AR107" s="271"/>
      <c r="AS107" s="177"/>
      <c r="AT107"/>
      <c r="AU107" s="177"/>
      <c r="AZ107" s="151"/>
    </row>
    <row r="108" spans="2:53" ht="25.5" hidden="1" customHeight="1" outlineLevel="1" thickTop="1" thickBot="1" x14ac:dyDescent="0.3">
      <c r="B108" s="34">
        <f>B49</f>
        <v>0</v>
      </c>
      <c r="C108" s="788">
        <f t="shared" si="71"/>
        <v>0</v>
      </c>
      <c r="D108" s="788"/>
      <c r="E108" s="271"/>
      <c r="F108" s="795"/>
      <c r="G108" s="795"/>
      <c r="H108" s="795"/>
      <c r="I108" s="795"/>
      <c r="J108" s="795"/>
      <c r="K108" s="795"/>
      <c r="L108" s="795"/>
      <c r="M108" s="795"/>
      <c r="N108" s="795"/>
      <c r="O108" s="795"/>
      <c r="P108" s="795"/>
      <c r="Q108" s="795"/>
      <c r="R108" s="795"/>
      <c r="S108" s="795"/>
      <c r="T108" s="33">
        <f t="shared" si="75"/>
        <v>0</v>
      </c>
      <c r="U108" s="33">
        <f t="shared" si="75"/>
        <v>0</v>
      </c>
      <c r="V108" s="33">
        <f t="shared" si="75"/>
        <v>0</v>
      </c>
      <c r="W108" s="33">
        <f t="shared" si="75"/>
        <v>0</v>
      </c>
      <c r="X108" s="33">
        <f t="shared" si="75"/>
        <v>0</v>
      </c>
      <c r="Y108" s="574">
        <f t="shared" si="78"/>
        <v>0</v>
      </c>
      <c r="Z108" s="561">
        <f t="shared" si="68"/>
        <v>0</v>
      </c>
      <c r="AA108" s="566">
        <f t="shared" si="77"/>
        <v>0</v>
      </c>
      <c r="AB108" s="244">
        <f t="shared" si="77"/>
        <v>0</v>
      </c>
      <c r="AC108" s="244">
        <f t="shared" si="77"/>
        <v>0</v>
      </c>
      <c r="AD108" s="244">
        <f t="shared" si="77"/>
        <v>0</v>
      </c>
      <c r="AE108" s="244">
        <f t="shared" si="77"/>
        <v>0</v>
      </c>
      <c r="AF108" s="245">
        <f>SUM(AA108:AE108)</f>
        <v>0</v>
      </c>
      <c r="AG108" s="675"/>
      <c r="AH108" s="675"/>
      <c r="AI108" s="675"/>
      <c r="AJ108" s="675"/>
      <c r="AK108" s="675"/>
      <c r="AL108" s="675"/>
      <c r="AM108" s="675"/>
      <c r="AN108" s="675"/>
      <c r="AO108" s="34">
        <f t="shared" si="79"/>
        <v>0</v>
      </c>
      <c r="AP108" s="788">
        <f t="shared" si="79"/>
        <v>0</v>
      </c>
      <c r="AQ108" s="788"/>
      <c r="AR108" s="271"/>
      <c r="AS108" s="177"/>
      <c r="AT108"/>
      <c r="AU108" s="177"/>
      <c r="AZ108" s="151"/>
    </row>
    <row r="109" spans="2:53" ht="25.5" hidden="1" customHeight="1" outlineLevel="1" thickTop="1" thickBot="1" x14ac:dyDescent="0.3">
      <c r="B109" s="34">
        <f>B50</f>
        <v>0</v>
      </c>
      <c r="C109" s="788">
        <f t="shared" si="71"/>
        <v>0</v>
      </c>
      <c r="D109" s="788"/>
      <c r="E109" s="271"/>
      <c r="F109" s="795"/>
      <c r="G109" s="795"/>
      <c r="H109" s="795"/>
      <c r="I109" s="795"/>
      <c r="J109" s="795"/>
      <c r="K109" s="795"/>
      <c r="L109" s="795"/>
      <c r="M109" s="795"/>
      <c r="N109" s="795"/>
      <c r="O109" s="795"/>
      <c r="P109" s="795"/>
      <c r="Q109" s="795"/>
      <c r="R109" s="795"/>
      <c r="S109" s="795"/>
      <c r="T109" s="33">
        <f t="shared" si="75"/>
        <v>0</v>
      </c>
      <c r="U109" s="33">
        <f t="shared" si="75"/>
        <v>0</v>
      </c>
      <c r="V109" s="33">
        <f t="shared" si="75"/>
        <v>0</v>
      </c>
      <c r="W109" s="33">
        <f t="shared" si="75"/>
        <v>0</v>
      </c>
      <c r="X109" s="33">
        <f t="shared" si="75"/>
        <v>0</v>
      </c>
      <c r="Y109" s="574">
        <f>SUM(T109:X109)</f>
        <v>0</v>
      </c>
      <c r="Z109" s="561">
        <f t="shared" si="68"/>
        <v>0</v>
      </c>
      <c r="AA109" s="566">
        <f t="shared" si="77"/>
        <v>0</v>
      </c>
      <c r="AB109" s="244">
        <f t="shared" si="77"/>
        <v>0</v>
      </c>
      <c r="AC109" s="244">
        <f t="shared" si="77"/>
        <v>0</v>
      </c>
      <c r="AD109" s="244">
        <f t="shared" si="77"/>
        <v>0</v>
      </c>
      <c r="AE109" s="244">
        <f t="shared" si="77"/>
        <v>0</v>
      </c>
      <c r="AF109" s="245">
        <f>SUM(AA109:AE109)</f>
        <v>0</v>
      </c>
      <c r="AG109" s="675"/>
      <c r="AH109" s="675"/>
      <c r="AI109" s="675"/>
      <c r="AJ109" s="675"/>
      <c r="AK109" s="675"/>
      <c r="AL109" s="675"/>
      <c r="AM109" s="675"/>
      <c r="AN109" s="675"/>
      <c r="AO109" s="34">
        <f t="shared" si="79"/>
        <v>0</v>
      </c>
      <c r="AP109" s="788">
        <f t="shared" si="79"/>
        <v>0</v>
      </c>
      <c r="AQ109" s="788"/>
      <c r="AR109" s="271"/>
      <c r="AS109" s="177"/>
      <c r="AT109"/>
      <c r="AU109" s="177"/>
      <c r="AZ109" s="151"/>
    </row>
    <row r="110" spans="2:53" ht="25.5" hidden="1" customHeight="1" outlineLevel="1" thickTop="1" thickBot="1" x14ac:dyDescent="0.3">
      <c r="B110" s="34">
        <f>B51</f>
        <v>0</v>
      </c>
      <c r="C110" s="788">
        <f t="shared" si="71"/>
        <v>0</v>
      </c>
      <c r="D110" s="788"/>
      <c r="E110" s="272"/>
      <c r="F110" s="795"/>
      <c r="G110" s="795"/>
      <c r="H110" s="795"/>
      <c r="I110" s="795"/>
      <c r="J110" s="795"/>
      <c r="K110" s="795"/>
      <c r="L110" s="795"/>
      <c r="M110" s="795"/>
      <c r="N110" s="795"/>
      <c r="O110" s="795"/>
      <c r="P110" s="795"/>
      <c r="Q110" s="795"/>
      <c r="R110" s="795"/>
      <c r="S110" s="795"/>
      <c r="T110" s="33">
        <f t="shared" si="75"/>
        <v>0</v>
      </c>
      <c r="U110" s="33">
        <f t="shared" si="75"/>
        <v>0</v>
      </c>
      <c r="V110" s="33">
        <f t="shared" si="75"/>
        <v>0</v>
      </c>
      <c r="W110" s="33">
        <f t="shared" si="75"/>
        <v>0</v>
      </c>
      <c r="X110" s="33">
        <f t="shared" si="75"/>
        <v>0</v>
      </c>
      <c r="Y110" s="574">
        <f t="shared" si="78"/>
        <v>0</v>
      </c>
      <c r="Z110" s="561">
        <f t="shared" si="68"/>
        <v>0</v>
      </c>
      <c r="AA110" s="566">
        <f t="shared" si="77"/>
        <v>0</v>
      </c>
      <c r="AB110" s="244">
        <f t="shared" si="77"/>
        <v>0</v>
      </c>
      <c r="AC110" s="244">
        <f t="shared" si="77"/>
        <v>0</v>
      </c>
      <c r="AD110" s="244">
        <f t="shared" si="77"/>
        <v>0</v>
      </c>
      <c r="AE110" s="244">
        <f t="shared" si="77"/>
        <v>0</v>
      </c>
      <c r="AF110" s="245">
        <f t="shared" ref="AF110" si="80">SUM(AA110:AE110)</f>
        <v>0</v>
      </c>
      <c r="AG110" s="675"/>
      <c r="AH110" s="675"/>
      <c r="AI110" s="675"/>
      <c r="AJ110" s="675"/>
      <c r="AK110" s="675"/>
      <c r="AL110" s="675"/>
      <c r="AM110" s="675"/>
      <c r="AN110" s="675"/>
      <c r="AO110" s="34">
        <f t="shared" si="79"/>
        <v>0</v>
      </c>
      <c r="AP110" s="788">
        <f t="shared" si="79"/>
        <v>0</v>
      </c>
      <c r="AQ110" s="788"/>
      <c r="AR110" s="272"/>
      <c r="AS110" s="177"/>
      <c r="AT110"/>
      <c r="AU110" s="177"/>
      <c r="AZ110" s="151"/>
    </row>
    <row r="111" spans="2:53" ht="25.5" hidden="1" customHeight="1" outlineLevel="1" thickTop="1" thickBot="1" x14ac:dyDescent="0.3">
      <c r="B111" s="34">
        <f>B52</f>
        <v>0</v>
      </c>
      <c r="C111" s="788">
        <f>C52</f>
        <v>0</v>
      </c>
      <c r="D111" s="788"/>
      <c r="E111" s="272"/>
      <c r="F111" s="795"/>
      <c r="G111" s="795"/>
      <c r="H111" s="795"/>
      <c r="I111" s="795"/>
      <c r="J111" s="795"/>
      <c r="K111" s="795"/>
      <c r="L111" s="795"/>
      <c r="M111" s="795"/>
      <c r="N111" s="795"/>
      <c r="O111" s="795"/>
      <c r="P111" s="795"/>
      <c r="Q111" s="795"/>
      <c r="R111" s="795"/>
      <c r="S111" s="795"/>
      <c r="T111" s="33">
        <f t="shared" si="75"/>
        <v>0</v>
      </c>
      <c r="U111" s="33">
        <f t="shared" si="75"/>
        <v>0</v>
      </c>
      <c r="V111" s="33">
        <f t="shared" si="75"/>
        <v>0</v>
      </c>
      <c r="W111" s="33">
        <f t="shared" si="75"/>
        <v>0</v>
      </c>
      <c r="X111" s="33">
        <f t="shared" si="75"/>
        <v>0</v>
      </c>
      <c r="Y111" s="574">
        <f t="shared" si="78"/>
        <v>0</v>
      </c>
      <c r="Z111" s="561">
        <f t="shared" si="68"/>
        <v>0</v>
      </c>
      <c r="AA111" s="566">
        <f t="shared" si="77"/>
        <v>0</v>
      </c>
      <c r="AB111" s="244">
        <f t="shared" si="77"/>
        <v>0</v>
      </c>
      <c r="AC111" s="244">
        <f t="shared" si="77"/>
        <v>0</v>
      </c>
      <c r="AD111" s="244">
        <f t="shared" si="77"/>
        <v>0</v>
      </c>
      <c r="AE111" s="244">
        <f t="shared" si="77"/>
        <v>0</v>
      </c>
      <c r="AF111" s="245">
        <f>SUM(AA111:AE111)</f>
        <v>0</v>
      </c>
      <c r="AG111" s="675"/>
      <c r="AH111" s="675"/>
      <c r="AI111" s="675"/>
      <c r="AJ111" s="675"/>
      <c r="AK111" s="675"/>
      <c r="AL111" s="675"/>
      <c r="AM111" s="675"/>
      <c r="AN111" s="675"/>
      <c r="AO111" s="34">
        <f t="shared" si="79"/>
        <v>0</v>
      </c>
      <c r="AP111" s="788">
        <f t="shared" si="79"/>
        <v>0</v>
      </c>
      <c r="AQ111" s="788"/>
      <c r="AR111" s="272"/>
      <c r="AS111" s="177"/>
      <c r="AT111"/>
      <c r="AU111" s="177"/>
      <c r="AZ111" s="151"/>
    </row>
    <row r="112" spans="2:53" ht="32.25" customHeight="1" collapsed="1" thickTop="1" x14ac:dyDescent="0.25">
      <c r="B112" s="697" t="s">
        <v>196</v>
      </c>
      <c r="C112" s="697"/>
      <c r="D112" s="697"/>
      <c r="E112" s="697"/>
      <c r="F112" s="697"/>
      <c r="G112" s="697"/>
      <c r="H112" s="697"/>
      <c r="I112" s="697"/>
      <c r="J112" s="697"/>
      <c r="K112" s="697"/>
      <c r="L112" s="697"/>
      <c r="M112" s="697"/>
      <c r="N112" s="697"/>
      <c r="O112" s="697"/>
      <c r="P112" s="697"/>
      <c r="Q112" s="352"/>
      <c r="R112" s="352"/>
      <c r="S112" s="352"/>
      <c r="T112" s="438">
        <f>ROUND(SUM(T92:T111),0)</f>
        <v>0</v>
      </c>
      <c r="U112" s="438">
        <f t="shared" ref="U112:X112" si="81">ROUND(SUM(U92:U111),0)</f>
        <v>0</v>
      </c>
      <c r="V112" s="438">
        <f t="shared" si="81"/>
        <v>0</v>
      </c>
      <c r="W112" s="438">
        <f t="shared" si="81"/>
        <v>0</v>
      </c>
      <c r="X112" s="438">
        <f t="shared" si="81"/>
        <v>0</v>
      </c>
      <c r="Y112" s="438">
        <f>ROUND(SUM(Y92:Y111),0)</f>
        <v>0</v>
      </c>
      <c r="Z112" s="561">
        <f t="shared" si="68"/>
        <v>0</v>
      </c>
      <c r="AA112" s="443">
        <f t="shared" ref="AA112:AE112" si="82">SUM(AA92:AA111)</f>
        <v>0</v>
      </c>
      <c r="AB112" s="443">
        <f t="shared" si="82"/>
        <v>0</v>
      </c>
      <c r="AC112" s="443">
        <f t="shared" si="82"/>
        <v>0</v>
      </c>
      <c r="AD112" s="443">
        <f t="shared" si="82"/>
        <v>0</v>
      </c>
      <c r="AE112" s="443">
        <f t="shared" si="82"/>
        <v>0</v>
      </c>
      <c r="AF112" s="443">
        <f>SUM(AF92:AF111)</f>
        <v>0</v>
      </c>
      <c r="AG112" s="405"/>
      <c r="AH112" s="702" t="s">
        <v>196</v>
      </c>
      <c r="AI112" s="702"/>
      <c r="AJ112" s="702"/>
      <c r="AK112" s="702"/>
      <c r="AL112" s="702"/>
      <c r="AM112" s="702"/>
      <c r="AN112" s="702"/>
      <c r="AO112" s="702"/>
      <c r="AP112" s="702"/>
      <c r="AQ112" s="702"/>
      <c r="AR112" s="702"/>
      <c r="AS112" s="702"/>
      <c r="AT112" s="702"/>
      <c r="AU112" s="702"/>
      <c r="AV112" s="702"/>
      <c r="AW112" s="702"/>
      <c r="AX112" s="702"/>
      <c r="AY112" s="702"/>
      <c r="AZ112" s="703"/>
      <c r="BA112" s="28"/>
    </row>
    <row r="113" spans="1:55" ht="46.5" customHeight="1" thickBot="1" x14ac:dyDescent="0.35">
      <c r="B113" s="729" t="s">
        <v>197</v>
      </c>
      <c r="C113" s="729"/>
      <c r="D113" s="729"/>
      <c r="E113" s="729"/>
      <c r="F113" s="729"/>
      <c r="G113" s="729"/>
      <c r="H113" s="729"/>
      <c r="I113" s="729"/>
      <c r="J113" s="729"/>
      <c r="K113" s="729"/>
      <c r="L113" s="729"/>
      <c r="M113" s="729"/>
      <c r="N113" s="729"/>
      <c r="O113" s="729"/>
      <c r="P113" s="729"/>
      <c r="Q113" s="729"/>
      <c r="R113" s="729"/>
      <c r="S113" s="729"/>
      <c r="T113" s="729"/>
      <c r="U113" s="729"/>
      <c r="V113" s="729"/>
      <c r="W113" s="729"/>
      <c r="X113" s="729"/>
      <c r="Y113" s="729"/>
      <c r="Z113" s="573"/>
      <c r="AA113" s="660" t="s">
        <v>198</v>
      </c>
      <c r="AB113" s="660"/>
      <c r="AC113" s="660"/>
      <c r="AD113" s="660"/>
      <c r="AE113" s="660"/>
      <c r="AF113" s="660"/>
      <c r="AG113" s="660"/>
      <c r="AH113" s="660"/>
      <c r="AI113" s="660"/>
      <c r="AJ113" s="660"/>
      <c r="AK113" s="660"/>
      <c r="AL113" s="660"/>
      <c r="AM113" s="660"/>
      <c r="AN113" s="660"/>
      <c r="AO113" s="660"/>
      <c r="AP113" s="660"/>
      <c r="AQ113" s="660"/>
      <c r="AR113" s="660"/>
      <c r="AS113" s="660"/>
      <c r="AT113" s="660"/>
      <c r="AU113" s="660"/>
      <c r="AV113" s="660"/>
      <c r="AW113" s="660"/>
      <c r="AX113" s="660"/>
      <c r="AY113" s="660"/>
      <c r="AZ113" s="660"/>
    </row>
    <row r="114" spans="1:55" ht="39" customHeight="1" thickTop="1" thickBot="1" x14ac:dyDescent="0.3">
      <c r="B114" s="304" t="s">
        <v>144</v>
      </c>
      <c r="C114" s="305" t="s">
        <v>145</v>
      </c>
      <c r="D114" s="305" t="s">
        <v>76</v>
      </c>
      <c r="E114" s="305" t="s">
        <v>191</v>
      </c>
      <c r="F114" s="734" t="s">
        <v>199</v>
      </c>
      <c r="G114" s="734"/>
      <c r="H114" s="734"/>
      <c r="I114" s="734"/>
      <c r="J114" s="734"/>
      <c r="K114" s="734"/>
      <c r="L114" s="734"/>
      <c r="M114" s="734"/>
      <c r="N114" s="734"/>
      <c r="O114" s="734"/>
      <c r="P114" s="734"/>
      <c r="Q114" s="734"/>
      <c r="R114" s="734"/>
      <c r="S114" s="734"/>
      <c r="T114" s="55" t="s">
        <v>200</v>
      </c>
      <c r="U114" s="55" t="s">
        <v>201</v>
      </c>
      <c r="V114" s="55" t="s">
        <v>202</v>
      </c>
      <c r="W114" s="55" t="s">
        <v>203</v>
      </c>
      <c r="X114" s="55" t="s">
        <v>204</v>
      </c>
      <c r="Y114" s="376" t="s">
        <v>112</v>
      </c>
      <c r="Z114" s="561"/>
      <c r="AA114" s="55" t="s">
        <v>200</v>
      </c>
      <c r="AB114" s="55" t="s">
        <v>201</v>
      </c>
      <c r="AC114" s="55" t="s">
        <v>202</v>
      </c>
      <c r="AD114" s="55" t="s">
        <v>203</v>
      </c>
      <c r="AE114" s="390" t="s">
        <v>204</v>
      </c>
      <c r="AF114" s="391" t="s">
        <v>133</v>
      </c>
      <c r="AG114" s="389"/>
      <c r="AO114" s="304" t="s">
        <v>144</v>
      </c>
      <c r="AP114" s="305" t="s">
        <v>145</v>
      </c>
      <c r="AQ114" s="305" t="s">
        <v>76</v>
      </c>
      <c r="AR114" s="305" t="s">
        <v>191</v>
      </c>
      <c r="AT114"/>
      <c r="AZ114" s="205"/>
      <c r="BA114" s="67"/>
      <c r="BB114" s="67"/>
      <c r="BC114" s="67"/>
    </row>
    <row r="115" spans="1:55" ht="25.5" customHeight="1" thickBot="1" x14ac:dyDescent="0.3">
      <c r="A115" s="171"/>
      <c r="B115" s="167">
        <f>B56</f>
        <v>0</v>
      </c>
      <c r="C115" s="162" t="str">
        <f t="shared" ref="C115:D116" si="83">C56</f>
        <v>GRA # 1</v>
      </c>
      <c r="D115" s="19" t="str">
        <f t="shared" si="83"/>
        <v>Spring</v>
      </c>
      <c r="E115" s="275">
        <v>4.1000000000000003E-3</v>
      </c>
      <c r="F115" s="735"/>
      <c r="G115" s="735"/>
      <c r="H115" s="735"/>
      <c r="I115" s="735"/>
      <c r="J115" s="735"/>
      <c r="K115" s="735"/>
      <c r="L115" s="735"/>
      <c r="M115" s="735"/>
      <c r="N115" s="735"/>
      <c r="O115" s="735"/>
      <c r="P115" s="735"/>
      <c r="Q115" s="735"/>
      <c r="R115" s="735"/>
      <c r="S115" s="735"/>
      <c r="T115" s="27">
        <f>ROUND($E$115*T56,0)</f>
        <v>0</v>
      </c>
      <c r="U115" s="27">
        <f>ROUND($E$115*U56,0)</f>
        <v>0</v>
      </c>
      <c r="V115" s="27">
        <f>ROUND($E$115*V56,0)</f>
        <v>0</v>
      </c>
      <c r="W115" s="27">
        <f>ROUND($E$115*W56,0)</f>
        <v>0</v>
      </c>
      <c r="X115" s="27">
        <f>ROUND($E$115*X56,0)</f>
        <v>0</v>
      </c>
      <c r="Y115" s="69">
        <f t="shared" ref="Y115:Y134" si="84">ROUND(SUM(T115:X115),0)</f>
        <v>0</v>
      </c>
      <c r="Z115" s="561">
        <f t="shared" ref="Z115:Z135" si="85">Y115+AF115</f>
        <v>0</v>
      </c>
      <c r="AA115" s="589">
        <f>ROUND($E$115*AA56,0)</f>
        <v>0</v>
      </c>
      <c r="AB115" s="247">
        <f>ROUND($E$115*AB56,0)</f>
        <v>0</v>
      </c>
      <c r="AC115" s="247">
        <f>ROUND($E$115*AC56,0)</f>
        <v>0</v>
      </c>
      <c r="AD115" s="247">
        <f>ROUND($E$115*AD56,0)</f>
        <v>0</v>
      </c>
      <c r="AE115" s="247">
        <f>ROUND($E$115*AE56,0)</f>
        <v>0</v>
      </c>
      <c r="AF115" s="248">
        <f t="shared" ref="AF115:AF134" si="86">SUM(AA115:AE115)</f>
        <v>0</v>
      </c>
      <c r="AO115" s="167">
        <f t="shared" ref="AO115:AQ116" si="87">AO56</f>
        <v>0</v>
      </c>
      <c r="AP115" s="162" t="str">
        <f t="shared" si="87"/>
        <v>GRA # 0</v>
      </c>
      <c r="AQ115" s="19" t="str">
        <f t="shared" si="87"/>
        <v>Full year</v>
      </c>
      <c r="AR115" s="275">
        <v>4.1000000000000003E-3</v>
      </c>
      <c r="AT115"/>
      <c r="AZ115" s="151"/>
      <c r="BA115" s="67"/>
      <c r="BB115" s="67"/>
      <c r="BC115" s="67"/>
    </row>
    <row r="116" spans="1:55" ht="25.5" customHeight="1" thickTop="1" thickBot="1" x14ac:dyDescent="0.3">
      <c r="A116" s="171"/>
      <c r="B116" s="167">
        <f>B57</f>
        <v>0</v>
      </c>
      <c r="C116" s="163">
        <f t="shared" si="83"/>
        <v>0</v>
      </c>
      <c r="D116" s="19" t="str">
        <f t="shared" si="83"/>
        <v>Summer</v>
      </c>
      <c r="E116" s="271">
        <v>8.0600000000000005E-2</v>
      </c>
      <c r="F116" s="735"/>
      <c r="G116" s="735"/>
      <c r="H116" s="735"/>
      <c r="I116" s="735"/>
      <c r="J116" s="735"/>
      <c r="K116" s="735"/>
      <c r="L116" s="735"/>
      <c r="M116" s="735"/>
      <c r="N116" s="735"/>
      <c r="O116" s="735"/>
      <c r="P116" s="735"/>
      <c r="Q116" s="735"/>
      <c r="R116" s="735"/>
      <c r="S116" s="735"/>
      <c r="T116" s="27">
        <f>ROUND($E$116*T57,0)</f>
        <v>0</v>
      </c>
      <c r="U116" s="27">
        <f>ROUND($E$116*U57,0)</f>
        <v>0</v>
      </c>
      <c r="V116" s="27">
        <f>ROUND($E$116*V57,0)</f>
        <v>0</v>
      </c>
      <c r="W116" s="27">
        <f>ROUND($E$116*W57,0)</f>
        <v>0</v>
      </c>
      <c r="X116" s="27">
        <f>ROUND($E$116*X57,0)</f>
        <v>0</v>
      </c>
      <c r="Y116" s="69">
        <f t="shared" si="84"/>
        <v>0</v>
      </c>
      <c r="Z116" s="561">
        <f t="shared" si="85"/>
        <v>0</v>
      </c>
      <c r="AA116" s="589">
        <f>ROUND($E$116*AA57,0)</f>
        <v>0</v>
      </c>
      <c r="AB116" s="247">
        <f>ROUND($E$116*AB57,0)</f>
        <v>0</v>
      </c>
      <c r="AC116" s="247">
        <f>ROUND($E$116*AC57,0)</f>
        <v>0</v>
      </c>
      <c r="AD116" s="247">
        <f>ROUND($E$116*AD57,0)</f>
        <v>0</v>
      </c>
      <c r="AE116" s="247">
        <f>ROUND($E$116*AE57,0)</f>
        <v>0</v>
      </c>
      <c r="AF116" s="248">
        <f t="shared" si="86"/>
        <v>0</v>
      </c>
      <c r="AO116" s="167">
        <f t="shared" si="87"/>
        <v>0</v>
      </c>
      <c r="AP116" s="163">
        <f t="shared" si="87"/>
        <v>0</v>
      </c>
      <c r="AQ116" s="19" t="str">
        <f t="shared" si="87"/>
        <v>Summer</v>
      </c>
      <c r="AR116" s="271">
        <v>8.0600000000000005E-2</v>
      </c>
      <c r="AT116"/>
      <c r="AZ116" s="151"/>
      <c r="BA116" s="67"/>
      <c r="BB116" s="67"/>
      <c r="BC116" s="67"/>
    </row>
    <row r="117" spans="1:55" ht="25.5" customHeight="1" thickTop="1" x14ac:dyDescent="0.25">
      <c r="B117" s="38"/>
      <c r="C117" s="165"/>
      <c r="D117" s="698" t="s">
        <v>205</v>
      </c>
      <c r="E117" s="698"/>
      <c r="F117" s="735"/>
      <c r="G117" s="735"/>
      <c r="H117" s="735"/>
      <c r="I117" s="735"/>
      <c r="J117" s="735"/>
      <c r="K117" s="735"/>
      <c r="L117" s="735"/>
      <c r="M117" s="735"/>
      <c r="N117" s="735"/>
      <c r="O117" s="735"/>
      <c r="P117" s="735"/>
      <c r="Q117" s="735"/>
      <c r="R117" s="735"/>
      <c r="S117" s="735"/>
      <c r="T117" s="37" cm="1">
        <f t="array" ref="T117">ROUND(_xlfn.IFNA(_xlfn.IFS(AND(G56=20,N56=8.77,$D$115="Full year"),Rates!$C$21*$B$115,
AND(G56=20,N56=4.39,$D$115="Fall"),Rates!$C$22*$B$115,
AND(G56=20,N56=4.39,$D$115="Spring"),Rates!$C$23*$B$115)*1.05^G$2,0),0)</f>
        <v>0</v>
      </c>
      <c r="U117" s="37" cm="1">
        <f t="array" ref="U117">ROUND(_xlfn.IFNA(_xlfn.IFS(AND(H56=20,O56=8.77,$D$115="Full year"),Rates!$C$21*$B$115,
AND(H56=20,O56=4.39,$D$115="Fall"),Rates!$C$22*$B$115,
AND(H56=20,O56=4.39,$D$115="Spring"),Rates!$C$23*$B$115)*1.05^H$2,0),0)</f>
        <v>0</v>
      </c>
      <c r="V117" s="37" cm="1">
        <f t="array" ref="V117">ROUND(_xlfn.IFNA(_xlfn.IFS(AND(I56=20,P56=8.77,$D$115="Full year"),Rates!$C$21*$B$115,
AND(I56=20,P56=4.39,$D$115="Fall"),Rates!$C$22*$B$115,
AND(I56=20,P56=4.39,$D$115="Spring"),Rates!$C$23*$B$115)*1.05^I$2,0),0)</f>
        <v>0</v>
      </c>
      <c r="W117" s="37" cm="1">
        <f t="array" ref="W117">ROUND(_xlfn.IFNA(_xlfn.IFS(AND(J56=20,Q56=8.77,$D$115="Full year"),Rates!$C$21*$B$115,
AND(J56=20,Q56=4.39,$D$115="Fall"),Rates!$C$22*$B$115,
AND(J56=20,Q56=4.39,$D$115="Spring"),Rates!$C$23*$B$115)*1.05^J$2,0),0)</f>
        <v>0</v>
      </c>
      <c r="X117" s="37" cm="1">
        <f t="array" ref="X117">ROUND(_xlfn.IFNA(_xlfn.IFS(AND(K56=20,R56=8.77,$D$115="Full year"),Rates!$C$21*$B$115,
AND(K56=20,R56=4.39,$D$115="Fall"),Rates!$C$22*$B$115,
AND(K56=20,R56=4.39,$D$115="Spring"),Rates!$C$23*$B$115)*1.05^K$2,0),0)</f>
        <v>0</v>
      </c>
      <c r="Y117" s="72">
        <f t="shared" si="84"/>
        <v>0</v>
      </c>
      <c r="Z117" s="561">
        <f t="shared" si="85"/>
        <v>0</v>
      </c>
      <c r="AA117" s="590" cm="1">
        <f t="array" ref="AA117">_xlfn.IFNA(_xlfn.IFS(AND(AH56=20,AU56=8.77,$AQ$115="Full year"),Rates!$C$21*$AO$115,
AND(AH56=20,AU56=4.39,$AQ$115="Fall"),Rates!$C$22*$AO$115,
AND(AH56=20,AU56=4.39,$AQ$115="Spring"),Rates!$C$23*$AO$115)*1.05^G$2,0)</f>
        <v>0</v>
      </c>
      <c r="AB117" s="249" cm="1">
        <f t="array" ref="AB117">_xlfn.IFNA(_xlfn.IFS(AND(AI56=20,AV56=8.77,$AQ$115="Full year"),Rates!$C$21*$AO$115,
AND(AI56=20,AV56=4.39,$AQ$115="Fall"),Rates!$C$22*$AO$115,
AND(AI56=20,AV56=4.39,$AQ$115="Spring"),Rates!$C$23*$AO$115)*1.05^H$2,0)</f>
        <v>0</v>
      </c>
      <c r="AC117" s="249" cm="1">
        <f t="array" ref="AC117">_xlfn.IFNA(_xlfn.IFS(AND(AJ56=20,AW56=8.77,$AQ$115="Full year"),Rates!$C$21*$AO$115,
AND(AJ56=20,AW56=4.39,$AQ$115="Fall"),Rates!$C$22*$AO$115,
AND(AJ56=20,AW56=4.39,$AQ$115="Spring"),Rates!$C$23*$AO$115)*1.05^I$2,0)</f>
        <v>0</v>
      </c>
      <c r="AD117" s="249" cm="1">
        <f t="array" ref="AD117">_xlfn.IFNA(_xlfn.IFS(AND(AK56=20,AX56=8.77,$AQ$115="Full year"),Rates!$C$21*$AO$115,
AND(AK56=20,AX56=4.39,$AQ$115="Fall"),Rates!$C$22*$AO$115,
AND(AK56=20,AX56=4.39,$AQ$115="Spring"),Rates!$C$23*$AO$115)*1.05^J$2,0)</f>
        <v>0</v>
      </c>
      <c r="AE117" s="249" cm="1">
        <f t="array" ref="AE117">_xlfn.IFNA(_xlfn.IFS(AND(AL56=20,AY56=8.77,$AQ$115="Full year"),Rates!$C$21*$AO$115,
AND(AL56=20,AY56=4.39,$AQ$115="Fall"),Rates!$C$22*$AO$115,
AND(AL56=20,AY56=4.39,$AQ$115="Spring"),Rates!$C$23*$AO$115)*1.05^K$2,0)</f>
        <v>0</v>
      </c>
      <c r="AF117" s="250">
        <f t="shared" si="86"/>
        <v>0</v>
      </c>
      <c r="AO117" s="38"/>
      <c r="AP117" s="165"/>
      <c r="AQ117" s="698" t="s">
        <v>205</v>
      </c>
      <c r="AR117" s="698"/>
      <c r="AT117"/>
      <c r="AZ117" s="151"/>
      <c r="BA117" s="67"/>
      <c r="BB117" s="67"/>
      <c r="BC117" s="67"/>
    </row>
    <row r="118" spans="1:55" ht="25.5" customHeight="1" thickBot="1" x14ac:dyDescent="0.3">
      <c r="B118" s="35"/>
      <c r="C118" s="36"/>
      <c r="D118" s="665" t="s">
        <v>206</v>
      </c>
      <c r="E118" s="665"/>
      <c r="F118" s="735"/>
      <c r="G118" s="735"/>
      <c r="H118" s="735"/>
      <c r="I118" s="735"/>
      <c r="J118" s="735"/>
      <c r="K118" s="735"/>
      <c r="L118" s="735"/>
      <c r="M118" s="735"/>
      <c r="N118" s="735"/>
      <c r="O118" s="735"/>
      <c r="P118" s="735"/>
      <c r="Q118" s="735"/>
      <c r="R118" s="735"/>
      <c r="S118" s="735"/>
      <c r="T118" s="273"/>
      <c r="U118" s="273"/>
      <c r="V118" s="273"/>
      <c r="W118" s="319"/>
      <c r="X118" s="319"/>
      <c r="Y118" s="174">
        <f t="shared" si="84"/>
        <v>0</v>
      </c>
      <c r="Z118" s="561">
        <f t="shared" si="85"/>
        <v>0</v>
      </c>
      <c r="AA118" s="591"/>
      <c r="AB118" s="273"/>
      <c r="AC118" s="273"/>
      <c r="AD118" s="273"/>
      <c r="AE118" s="273"/>
      <c r="AF118" s="312">
        <f t="shared" si="86"/>
        <v>0</v>
      </c>
      <c r="AO118" s="35"/>
      <c r="AP118" s="36"/>
      <c r="AQ118" s="665" t="s">
        <v>206</v>
      </c>
      <c r="AR118" s="665"/>
      <c r="AT118"/>
      <c r="AZ118" s="151"/>
      <c r="BA118" s="67"/>
      <c r="BB118" s="67"/>
      <c r="BC118" s="67"/>
    </row>
    <row r="119" spans="1:55" ht="25.5" hidden="1" customHeight="1" outlineLevel="1" thickBot="1" x14ac:dyDescent="0.3">
      <c r="A119" s="171"/>
      <c r="B119" s="168">
        <f t="shared" ref="B119:D120" si="88">B58</f>
        <v>0</v>
      </c>
      <c r="C119" s="164" t="str">
        <f t="shared" si="88"/>
        <v>GRA #2</v>
      </c>
      <c r="D119" s="19" t="str">
        <f t="shared" si="88"/>
        <v>Spring</v>
      </c>
      <c r="E119" s="271">
        <v>4.1000000000000003E-3</v>
      </c>
      <c r="F119" s="735"/>
      <c r="G119" s="735"/>
      <c r="H119" s="735"/>
      <c r="I119" s="735"/>
      <c r="J119" s="735"/>
      <c r="K119" s="735"/>
      <c r="L119" s="735"/>
      <c r="M119" s="735"/>
      <c r="N119" s="735"/>
      <c r="O119" s="735"/>
      <c r="P119" s="735"/>
      <c r="Q119" s="735"/>
      <c r="R119" s="735"/>
      <c r="S119" s="735"/>
      <c r="T119" s="172">
        <f>ROUND($E$119*T58,0)</f>
        <v>0</v>
      </c>
      <c r="U119" s="172">
        <f>ROUND($E$119*U58,0)</f>
        <v>0</v>
      </c>
      <c r="V119" s="172">
        <f>ROUND($E$119*V58,0)</f>
        <v>0</v>
      </c>
      <c r="W119" s="172">
        <f>ROUND($E$119*W58,0)</f>
        <v>0</v>
      </c>
      <c r="X119" s="172">
        <f>ROUND($E$119*X58,0)</f>
        <v>0</v>
      </c>
      <c r="Y119" s="173">
        <f t="shared" si="84"/>
        <v>0</v>
      </c>
      <c r="Z119" s="561">
        <f t="shared" si="85"/>
        <v>0</v>
      </c>
      <c r="AA119" s="592">
        <f>ROUND($E$119*AA58,0)</f>
        <v>0</v>
      </c>
      <c r="AB119" s="310">
        <f>ROUND($E$119*AB58,0)</f>
        <v>0</v>
      </c>
      <c r="AC119" s="310">
        <f>ROUND($E$119*AC58,0)</f>
        <v>0</v>
      </c>
      <c r="AD119" s="310">
        <f>ROUND($E$119*AD58,0)</f>
        <v>0</v>
      </c>
      <c r="AE119" s="310">
        <f>ROUND($E$119*AE58,0)</f>
        <v>0</v>
      </c>
      <c r="AF119" s="311">
        <f t="shared" si="86"/>
        <v>0</v>
      </c>
      <c r="AO119" s="168">
        <f t="shared" ref="AO119:AQ120" si="89">AO58</f>
        <v>0</v>
      </c>
      <c r="AP119" s="164" t="str">
        <f t="shared" si="89"/>
        <v>GRA #1</v>
      </c>
      <c r="AQ119" s="19" t="str">
        <f t="shared" si="89"/>
        <v>Full year</v>
      </c>
      <c r="AR119" s="271">
        <v>4.1000000000000003E-3</v>
      </c>
      <c r="AT119"/>
      <c r="AZ119" s="151"/>
      <c r="BA119" s="67"/>
      <c r="BB119" s="67"/>
      <c r="BC119" s="67"/>
    </row>
    <row r="120" spans="1:55" ht="25.5" hidden="1" customHeight="1" outlineLevel="1" thickTop="1" thickBot="1" x14ac:dyDescent="0.3">
      <c r="A120" s="171"/>
      <c r="B120" s="167">
        <f t="shared" si="88"/>
        <v>0</v>
      </c>
      <c r="C120" s="163">
        <f t="shared" si="88"/>
        <v>0</v>
      </c>
      <c r="D120" s="19" t="str">
        <f t="shared" si="88"/>
        <v>Summer</v>
      </c>
      <c r="E120" s="271">
        <v>8.0600000000000005E-2</v>
      </c>
      <c r="F120" s="735"/>
      <c r="G120" s="735"/>
      <c r="H120" s="735"/>
      <c r="I120" s="735"/>
      <c r="J120" s="735"/>
      <c r="K120" s="735"/>
      <c r="L120" s="735"/>
      <c r="M120" s="735"/>
      <c r="N120" s="735"/>
      <c r="O120" s="735"/>
      <c r="P120" s="735"/>
      <c r="Q120" s="735"/>
      <c r="R120" s="735"/>
      <c r="S120" s="735"/>
      <c r="T120" s="27">
        <f>ROUND($E$120*T59,0)</f>
        <v>0</v>
      </c>
      <c r="U120" s="27">
        <f>ROUND($E$120*U59,0)</f>
        <v>0</v>
      </c>
      <c r="V120" s="27">
        <f>ROUND($E$120*V59,0)</f>
        <v>0</v>
      </c>
      <c r="W120" s="27">
        <f>ROUND($E$120*W59,0)</f>
        <v>0</v>
      </c>
      <c r="X120" s="27">
        <f>ROUND($E$120*X59,0)</f>
        <v>0</v>
      </c>
      <c r="Y120" s="69">
        <f t="shared" si="84"/>
        <v>0</v>
      </c>
      <c r="Z120" s="561">
        <f t="shared" si="85"/>
        <v>0</v>
      </c>
      <c r="AA120" s="589">
        <f>ROUND($E$120*AA59,0)</f>
        <v>0</v>
      </c>
      <c r="AB120" s="247">
        <f>ROUND($E$120*AB59,0)</f>
        <v>0</v>
      </c>
      <c r="AC120" s="247">
        <f>ROUND($E$120*AC59,0)</f>
        <v>0</v>
      </c>
      <c r="AD120" s="247">
        <f>ROUND($E$120*AD59,0)</f>
        <v>0</v>
      </c>
      <c r="AE120" s="247">
        <f>ROUND($E$120*AE59,0)</f>
        <v>0</v>
      </c>
      <c r="AF120" s="248">
        <f t="shared" si="86"/>
        <v>0</v>
      </c>
      <c r="AO120" s="167">
        <f t="shared" si="89"/>
        <v>0</v>
      </c>
      <c r="AP120" s="163">
        <f t="shared" si="89"/>
        <v>0</v>
      </c>
      <c r="AQ120" s="19" t="str">
        <f t="shared" si="89"/>
        <v>Summer</v>
      </c>
      <c r="AR120" s="271">
        <v>8.0600000000000005E-2</v>
      </c>
      <c r="AT120"/>
      <c r="AZ120" s="151"/>
      <c r="BA120" s="67"/>
      <c r="BB120" s="67"/>
      <c r="BC120" s="67"/>
    </row>
    <row r="121" spans="1:55" ht="25.5" hidden="1" customHeight="1" outlineLevel="1" thickTop="1" x14ac:dyDescent="0.25">
      <c r="B121" s="38"/>
      <c r="C121" s="165"/>
      <c r="D121" s="698" t="s">
        <v>205</v>
      </c>
      <c r="E121" s="698"/>
      <c r="F121" s="735"/>
      <c r="G121" s="735"/>
      <c r="H121" s="735"/>
      <c r="I121" s="735"/>
      <c r="J121" s="735"/>
      <c r="K121" s="735"/>
      <c r="L121" s="735"/>
      <c r="M121" s="735"/>
      <c r="N121" s="735"/>
      <c r="O121" s="735"/>
      <c r="P121" s="735"/>
      <c r="Q121" s="735"/>
      <c r="R121" s="735"/>
      <c r="S121" s="735"/>
      <c r="T121" s="37" cm="1">
        <f t="array" ref="T121">ROUND(_xlfn.IFNA(_xlfn.IFS(AND(G58=20,N58=8.77,$D$119="Full year"),Rates!$C$21*$B$119,
AND(G58=20,N58=4.39,$D$119="Fall"),Rates!$C$22*$B$119,
AND(G58=20,N58=4.39,$D$119="Spring"),Rates!$C$23*$B$119)*1.05^G$2,0),0)</f>
        <v>0</v>
      </c>
      <c r="U121" s="37" cm="1">
        <f t="array" ref="U121">ROUND(_xlfn.IFNA(_xlfn.IFS(AND(H58=20,O58=8.77,$D$119="Full year"),Rates!$C$21*$B$119,
AND(H58=20,O58=4.39,$D$119="Fall"),Rates!$C$22*$B$119,
AND(H58=20,O58=4.39,$D$119="Spring"),Rates!$C$23*$B$119)*1.05^H$2,0),0)</f>
        <v>0</v>
      </c>
      <c r="V121" s="37" cm="1">
        <f t="array" ref="V121">ROUND(_xlfn.IFNA(_xlfn.IFS(AND(I58=20,P58=8.77,$D$119="Full year"),Rates!$C$21*$B$119,
AND(I58=20,P58=4.39,$D$119="Fall"),Rates!$C$22*$B$119,
AND(I58=20,P58=4.39,$D$119="Spring"),Rates!$C$23*$B$119)*1.05^I$2,0),0)</f>
        <v>0</v>
      </c>
      <c r="W121" s="37" cm="1">
        <f t="array" ref="W121">ROUND(_xlfn.IFNA(_xlfn.IFS(AND(J58=20,Q58=8.77,$D$119="Full year"),Rates!$C$21*$B$119,
AND(J58=20,Q58=4.39,$D$119="Fall"),Rates!$C$22*$B$119,
AND(J58=20,Q58=4.39,$D$119="Spring"),Rates!$C$23*$B$119)*1.05^J$2,0),0)</f>
        <v>0</v>
      </c>
      <c r="X121" s="37" cm="1">
        <f t="array" ref="X121">ROUND(_xlfn.IFNA(_xlfn.IFS(AND(K58=20,R58=8.77,$D$119="Full year"),Rates!$C$21*$B$119,
AND(K58=20,R58=4.39,$D$119="Fall"),Rates!$C$22*$B$119,
AND(K58=20,R58=4.39,$D$119="Spring"),Rates!$C$23*$B$119)*1.05^K$2,0),0)</f>
        <v>0</v>
      </c>
      <c r="Y121" s="72">
        <f t="shared" si="84"/>
        <v>0</v>
      </c>
      <c r="Z121" s="561">
        <f t="shared" si="85"/>
        <v>0</v>
      </c>
      <c r="AA121" s="590" cm="1">
        <f t="array" ref="AA121">_xlfn.IFNA(_xlfn.IFS(AND(AH58=20,AU58=8.77,$AQ$119="Full year"),Rates!$C$21*$AO$119,
AND(AH58=20,AU58=4.39,$AQ$119="Fall"),Rates!$C$22*$AO$119,
AND(AH58=20,AU58=4.39,$AQ$119="Spring"),Rates!$C$23*$AO$119)*1.05^G$2,0)</f>
        <v>0</v>
      </c>
      <c r="AB121" s="249" cm="1">
        <f t="array" ref="AB121">_xlfn.IFNA(_xlfn.IFS(AND(AI58=20,AV58=8.77,$AQ$119="Full year"),Rates!$C$21*$AO$119,
AND(AI58=20,AV58=4.39,$AQ$119="Fall"),Rates!$C$22*$AO$119,
AND(AI58=20,AV58=4.39,$AQ$119="Spring"),Rates!$C$23*$AO$119)*1.05^H$2,0)</f>
        <v>0</v>
      </c>
      <c r="AC121" s="249" cm="1">
        <f t="array" ref="AC121">_xlfn.IFNA(_xlfn.IFS(AND(AJ58=20,AW58=8.77,$AQ$119="Full year"),Rates!$C$21*$AO$119,
AND(AJ58=20,AW58=4.39,$AQ$119="Fall"),Rates!$C$22*$AO$119,
AND(AJ58=20,AW58=4.39,$AQ$119="Spring"),Rates!$C$23*$AO$119)*1.05^I$2,0)</f>
        <v>0</v>
      </c>
      <c r="AD121" s="249" cm="1">
        <f t="array" ref="AD121">_xlfn.IFNA(_xlfn.IFS(AND(AK58=20,AX58=8.77,$AQ$119="Full year"),Rates!$C$21*$AO$119,
AND(AK58=20,AX58=4.39,$AQ$119="Fall"),Rates!$C$22*$AO$119,
AND(AK58=20,AX58=4.39,$AQ$119="Spring"),Rates!$C$23*$AO$119)*1.05^J$2,0)</f>
        <v>0</v>
      </c>
      <c r="AE121" s="249" cm="1">
        <f t="array" ref="AE121">_xlfn.IFNA(_xlfn.IFS(AND(AL58=20,AY58=8.77,$AQ$119="Full year"),Rates!$C$21*$AO$119,
AND(AL58=20,AY58=4.39,$AQ$119="Fall"),Rates!$C$22*$AO$119,
AND(AL58=20,AY58=4.39,$AQ$119="Spring"),Rates!$C$23*$AO$119)*1.05^K$2,0)</f>
        <v>0</v>
      </c>
      <c r="AF121" s="251">
        <f t="shared" si="86"/>
        <v>0</v>
      </c>
      <c r="AO121" s="38"/>
      <c r="AP121" s="165"/>
      <c r="AQ121" s="698" t="s">
        <v>205</v>
      </c>
      <c r="AR121" s="698"/>
      <c r="AT121"/>
      <c r="AZ121" s="151"/>
      <c r="BA121" s="67"/>
      <c r="BB121" s="67"/>
      <c r="BC121" s="67"/>
    </row>
    <row r="122" spans="1:55" ht="25.5" hidden="1" customHeight="1" outlineLevel="1" thickBot="1" x14ac:dyDescent="0.3">
      <c r="B122" s="35"/>
      <c r="C122" s="36"/>
      <c r="D122" s="665" t="s">
        <v>206</v>
      </c>
      <c r="E122" s="665"/>
      <c r="F122" s="735"/>
      <c r="G122" s="735"/>
      <c r="H122" s="735"/>
      <c r="I122" s="735"/>
      <c r="J122" s="735"/>
      <c r="K122" s="735"/>
      <c r="L122" s="735"/>
      <c r="M122" s="735"/>
      <c r="N122" s="735"/>
      <c r="O122" s="735"/>
      <c r="P122" s="735"/>
      <c r="Q122" s="735"/>
      <c r="R122" s="735"/>
      <c r="S122" s="735"/>
      <c r="T122" s="273"/>
      <c r="U122" s="273"/>
      <c r="V122" s="273"/>
      <c r="W122" s="319"/>
      <c r="X122" s="319"/>
      <c r="Y122" s="174">
        <f t="shared" si="84"/>
        <v>0</v>
      </c>
      <c r="Z122" s="561">
        <f t="shared" si="85"/>
        <v>0</v>
      </c>
      <c r="AA122" s="591"/>
      <c r="AB122" s="273"/>
      <c r="AC122" s="273"/>
      <c r="AD122" s="273"/>
      <c r="AE122" s="273"/>
      <c r="AF122" s="313">
        <f t="shared" si="86"/>
        <v>0</v>
      </c>
      <c r="AO122" s="35"/>
      <c r="AP122" s="36"/>
      <c r="AQ122" s="665" t="s">
        <v>206</v>
      </c>
      <c r="AR122" s="665"/>
      <c r="AT122"/>
      <c r="AZ122" s="151"/>
      <c r="BA122" s="67"/>
      <c r="BB122" s="67"/>
      <c r="BC122" s="67"/>
    </row>
    <row r="123" spans="1:55" ht="25.5" hidden="1" customHeight="1" outlineLevel="1" thickBot="1" x14ac:dyDescent="0.3">
      <c r="A123" s="171"/>
      <c r="B123" s="168">
        <f t="shared" ref="B123:D124" si="90">B60</f>
        <v>0</v>
      </c>
      <c r="C123" s="162" t="str">
        <f t="shared" si="90"/>
        <v>GRA #3</v>
      </c>
      <c r="D123" s="19" t="str">
        <f t="shared" si="90"/>
        <v>Spring</v>
      </c>
      <c r="E123" s="271">
        <v>4.1000000000000003E-3</v>
      </c>
      <c r="F123" s="735"/>
      <c r="G123" s="735"/>
      <c r="H123" s="735"/>
      <c r="I123" s="735"/>
      <c r="J123" s="735"/>
      <c r="K123" s="735"/>
      <c r="L123" s="735"/>
      <c r="M123" s="735"/>
      <c r="N123" s="735"/>
      <c r="O123" s="735"/>
      <c r="P123" s="735"/>
      <c r="Q123" s="735"/>
      <c r="R123" s="735"/>
      <c r="S123" s="735"/>
      <c r="T123" s="172">
        <f>ROUND($E$123*T60,0)</f>
        <v>0</v>
      </c>
      <c r="U123" s="172">
        <f>ROUND($E$123*U60,0)</f>
        <v>0</v>
      </c>
      <c r="V123" s="172">
        <f>ROUND($E$123*V60,0)</f>
        <v>0</v>
      </c>
      <c r="W123" s="172">
        <f>ROUND($E$123*W60,0)</f>
        <v>0</v>
      </c>
      <c r="X123" s="172">
        <f>ROUND($E$123*X60,0)</f>
        <v>0</v>
      </c>
      <c r="Y123" s="173">
        <f t="shared" si="84"/>
        <v>0</v>
      </c>
      <c r="Z123" s="561">
        <f t="shared" si="85"/>
        <v>0</v>
      </c>
      <c r="AA123" s="592">
        <f>ROUND($E$123*AA60,0)</f>
        <v>0</v>
      </c>
      <c r="AB123" s="310">
        <f>ROUND($E$123*AB60,0)</f>
        <v>0</v>
      </c>
      <c r="AC123" s="310">
        <f>ROUND($E$123*AC60,0)</f>
        <v>0</v>
      </c>
      <c r="AD123" s="310">
        <f>ROUND($E$123*AD60,0)</f>
        <v>0</v>
      </c>
      <c r="AE123" s="310">
        <f>ROUND($E$123*AE60,0)</f>
        <v>0</v>
      </c>
      <c r="AF123" s="311">
        <f t="shared" si="86"/>
        <v>0</v>
      </c>
      <c r="AO123" s="168">
        <f t="shared" ref="AO123:AQ124" si="91">AO60</f>
        <v>0</v>
      </c>
      <c r="AP123" s="162" t="str">
        <f t="shared" si="91"/>
        <v>GRA #3</v>
      </c>
      <c r="AQ123" s="19" t="str">
        <f t="shared" si="91"/>
        <v>Full year</v>
      </c>
      <c r="AR123" s="271">
        <v>4.1000000000000003E-3</v>
      </c>
      <c r="AT123"/>
      <c r="BA123" s="150"/>
      <c r="BB123" s="67"/>
      <c r="BC123" s="67"/>
    </row>
    <row r="124" spans="1:55" ht="25.5" hidden="1" customHeight="1" outlineLevel="1" thickTop="1" thickBot="1" x14ac:dyDescent="0.3">
      <c r="A124" s="171"/>
      <c r="B124" s="167">
        <f t="shared" si="90"/>
        <v>0</v>
      </c>
      <c r="C124" s="163">
        <f t="shared" si="90"/>
        <v>0</v>
      </c>
      <c r="D124" s="19" t="str">
        <f t="shared" si="90"/>
        <v>Summer</v>
      </c>
      <c r="E124" s="271">
        <v>8.0600000000000005E-2</v>
      </c>
      <c r="F124" s="735"/>
      <c r="G124" s="735"/>
      <c r="H124" s="735"/>
      <c r="I124" s="735"/>
      <c r="J124" s="735"/>
      <c r="K124" s="735"/>
      <c r="L124" s="735"/>
      <c r="M124" s="735"/>
      <c r="N124" s="735"/>
      <c r="O124" s="735"/>
      <c r="P124" s="735"/>
      <c r="Q124" s="735"/>
      <c r="R124" s="735"/>
      <c r="S124" s="735"/>
      <c r="T124" s="27">
        <f>ROUND($E$124*T61,0)</f>
        <v>0</v>
      </c>
      <c r="U124" s="27">
        <f>ROUND($E$124*U61,0)</f>
        <v>0</v>
      </c>
      <c r="V124" s="27">
        <f>ROUND($E$124*V61,0)</f>
        <v>0</v>
      </c>
      <c r="W124" s="27">
        <f>ROUND($E$124*W61,0)</f>
        <v>0</v>
      </c>
      <c r="X124" s="27">
        <f>ROUND($E$124*X61,0)</f>
        <v>0</v>
      </c>
      <c r="Y124" s="69">
        <f t="shared" si="84"/>
        <v>0</v>
      </c>
      <c r="Z124" s="561">
        <f t="shared" si="85"/>
        <v>0</v>
      </c>
      <c r="AA124" s="589">
        <f>ROUND($E$124*AA61,0)</f>
        <v>0</v>
      </c>
      <c r="AB124" s="247">
        <f>ROUND($E$124*AB61,0)</f>
        <v>0</v>
      </c>
      <c r="AC124" s="247">
        <f>ROUND($E$124*AC61,0)</f>
        <v>0</v>
      </c>
      <c r="AD124" s="247">
        <f>ROUND($E$124*AD61,0)</f>
        <v>0</v>
      </c>
      <c r="AE124" s="247">
        <f>ROUND($E$124*AE61,0)</f>
        <v>0</v>
      </c>
      <c r="AF124" s="248">
        <f t="shared" si="86"/>
        <v>0</v>
      </c>
      <c r="AO124" s="167">
        <f t="shared" si="91"/>
        <v>0</v>
      </c>
      <c r="AP124" s="163">
        <f t="shared" si="91"/>
        <v>0</v>
      </c>
      <c r="AQ124" s="19" t="str">
        <f t="shared" si="91"/>
        <v>Summer</v>
      </c>
      <c r="AR124" s="271">
        <v>8.0600000000000005E-2</v>
      </c>
      <c r="AT124"/>
      <c r="BA124" s="150"/>
      <c r="BB124" s="67"/>
      <c r="BC124" s="67"/>
    </row>
    <row r="125" spans="1:55" ht="25.5" hidden="1" customHeight="1" outlineLevel="1" thickTop="1" x14ac:dyDescent="0.25">
      <c r="B125" s="38"/>
      <c r="C125" s="165"/>
      <c r="D125" s="698" t="s">
        <v>205</v>
      </c>
      <c r="E125" s="698"/>
      <c r="F125" s="735"/>
      <c r="G125" s="735"/>
      <c r="H125" s="735"/>
      <c r="I125" s="735"/>
      <c r="J125" s="735"/>
      <c r="K125" s="735"/>
      <c r="L125" s="735"/>
      <c r="M125" s="735"/>
      <c r="N125" s="735"/>
      <c r="O125" s="735"/>
      <c r="P125" s="735"/>
      <c r="Q125" s="735"/>
      <c r="R125" s="735"/>
      <c r="S125" s="735"/>
      <c r="T125" s="37" cm="1">
        <f t="array" ref="T125">ROUND(_xlfn.IFNA(_xlfn.IFS(AND(G60=20,N60=8.77,$D$123="Full year"),Rates!$C$21*$B$123,
AND(G60=20,N60=4.39,$D$123="Fall"),Rates!$C$22*$B$123,
AND(G60=20,N60=4.39,$D$123="Spring"),Rates!$C$23*$B$123)*1.05^G$2,0),0)</f>
        <v>0</v>
      </c>
      <c r="U125" s="37" cm="1">
        <f t="array" ref="U125">ROUND(_xlfn.IFNA(_xlfn.IFS(AND(H60=20,O60=8.77,$D$123="Full year"),Rates!$C$21*$B$123,
AND(H60=20,O60=4.39,$D$123="Fall"),Rates!$C$22*$B$123,
AND(H60=20,O60=4.39,$D$123="Spring"),Rates!$C$23*$B$123)*1.05^H$2,0),0)</f>
        <v>0</v>
      </c>
      <c r="V125" s="37" cm="1">
        <f t="array" ref="V125">ROUND(_xlfn.IFNA(_xlfn.IFS(AND(I60=20,P60=8.77,$D$123="Full year"),Rates!$C$21*$B$123,
AND(I60=20,P60=4.39,$D$123="Fall"),Rates!$C$22*$B$123,
AND(I60=20,P60=4.39,$D$123="Spring"),Rates!$C$23*$B$123)*1.05^I$2,0),0)</f>
        <v>0</v>
      </c>
      <c r="W125" s="37" cm="1">
        <f t="array" ref="W125">ROUND(_xlfn.IFNA(_xlfn.IFS(AND(J60=20,Q60=8.77,$D$123="Full year"),Rates!$C$21*$B$123,
AND(J60=20,Q60=4.39,$D$123="Fall"),Rates!$C$22*$B$123,
AND(J60=20,Q60=4.39,$D$123="Spring"),Rates!$C$23*$B$123)*1.05^J$2,0),0)</f>
        <v>0</v>
      </c>
      <c r="X125" s="37" cm="1">
        <f t="array" ref="X125">ROUND(_xlfn.IFNA(_xlfn.IFS(AND(K60=20,R60=8.77,$D$123="Full year"),Rates!$C$21*$B$123,
AND(K60=20,R60=4.39,$D$123="Fall"),Rates!$C$22*$B$123,
AND(K60=20,R60=4.39,$D$123="Spring"),Rates!$C$23*$B$123)*1.05^K$2,0),0)</f>
        <v>0</v>
      </c>
      <c r="Y125" s="72">
        <f t="shared" si="84"/>
        <v>0</v>
      </c>
      <c r="Z125" s="561">
        <f t="shared" si="85"/>
        <v>0</v>
      </c>
      <c r="AA125" s="590" cm="1">
        <f t="array" ref="AA125">_xlfn.IFNA(_xlfn.IFS(AND(AH60=20,AU60=8.77,$AQ$123="Full year"),Rates!$C$21*$AO$123,
AND(AH60=20,AU60=4.39,$AQ$123="Fall"),Rates!$C$22*$AO$123,
AND(AH60=20,AU60=4.39,$AQ$123="Spring"),Rates!$C$23*$AO$123)*1.05^G$2,0)</f>
        <v>0</v>
      </c>
      <c r="AB125" s="249" cm="1">
        <f t="array" ref="AB125">_xlfn.IFNA(_xlfn.IFS(AND(AI60=20,AV60=8.77,$AQ$123="Full year"),Rates!$C$21*$AO$123,
AND(AI60=20,AV60=4.39,$AQ$123="Fall"),Rates!$C$22*$AO$123,
AND(AI60=20,AV60=4.39,$AQ$123="Spring"),Rates!$C$23*$AO$123)*1.05^H$2,0)</f>
        <v>0</v>
      </c>
      <c r="AC125" s="249" cm="1">
        <f t="array" ref="AC125">_xlfn.IFNA(_xlfn.IFS(AND(AJ60=20,AW60=8.77,$AQ$123="Full year"),Rates!$C$21*$AO$123,
AND(AJ60=20,AW60=4.39,$AQ$123="Fall"),Rates!$C$22*$AO$123,
AND(AJ60=20,AW60=4.39,$AQ$123="Spring"),Rates!$C$23*$AO$123)*1.05^I$2,0)</f>
        <v>0</v>
      </c>
      <c r="AD125" s="249" cm="1">
        <f t="array" ref="AD125">_xlfn.IFNA(_xlfn.IFS(AND(AK60=20,AX60=8.77,$AQ$123="Full year"),Rates!$C$21*$AO$123,
AND(AK60=20,AX60=4.39,$AQ$123="Fall"),Rates!$C$22*$AO$123,
AND(AK60=20,AX60=4.39,$AQ$123="Spring"),Rates!$C$23*$AO$123)*1.05^J$2,0)</f>
        <v>0</v>
      </c>
      <c r="AE125" s="249" cm="1">
        <f t="array" ref="AE125">_xlfn.IFNA(_xlfn.IFS(AND(AL60=20,AY60=8.77,$AQ$123="Full year"),Rates!$C$21*$AO$123,
AND(AL60=20,AY60=4.39,$AQ$123="Fall"),Rates!$C$22*$AO$123,
AND(AL60=20,AY60=4.39,$AQ$123="Spring"),Rates!$C$23*$AO$123)*1.05^K$2,0)</f>
        <v>0</v>
      </c>
      <c r="AF125" s="251">
        <f t="shared" si="86"/>
        <v>0</v>
      </c>
      <c r="AO125" s="38"/>
      <c r="AP125" s="165"/>
      <c r="AQ125" s="698" t="s">
        <v>205</v>
      </c>
      <c r="AR125" s="698"/>
      <c r="AT125"/>
      <c r="BA125" s="150"/>
      <c r="BB125" s="67"/>
      <c r="BC125" s="67"/>
    </row>
    <row r="126" spans="1:55" ht="25.5" hidden="1" customHeight="1" outlineLevel="1" thickBot="1" x14ac:dyDescent="0.3">
      <c r="B126" s="35"/>
      <c r="C126" s="36"/>
      <c r="D126" s="665" t="s">
        <v>206</v>
      </c>
      <c r="E126" s="665"/>
      <c r="F126" s="735"/>
      <c r="G126" s="735"/>
      <c r="H126" s="735"/>
      <c r="I126" s="735"/>
      <c r="J126" s="735"/>
      <c r="K126" s="735"/>
      <c r="L126" s="735"/>
      <c r="M126" s="735"/>
      <c r="N126" s="735"/>
      <c r="O126" s="735"/>
      <c r="P126" s="735"/>
      <c r="Q126" s="735"/>
      <c r="R126" s="735"/>
      <c r="S126" s="735"/>
      <c r="T126" s="273"/>
      <c r="U126" s="273"/>
      <c r="V126" s="273"/>
      <c r="W126" s="319"/>
      <c r="X126" s="319"/>
      <c r="Y126" s="174">
        <f t="shared" si="84"/>
        <v>0</v>
      </c>
      <c r="Z126" s="561">
        <f t="shared" si="85"/>
        <v>0</v>
      </c>
      <c r="AA126" s="591"/>
      <c r="AB126" s="273"/>
      <c r="AC126" s="273"/>
      <c r="AD126" s="273"/>
      <c r="AE126" s="273"/>
      <c r="AF126" s="313">
        <f t="shared" si="86"/>
        <v>0</v>
      </c>
      <c r="AO126" s="35"/>
      <c r="AP126" s="36"/>
      <c r="AQ126" s="665" t="s">
        <v>206</v>
      </c>
      <c r="AR126" s="665"/>
      <c r="AT126"/>
      <c r="BA126" s="150"/>
      <c r="BB126" s="67"/>
      <c r="BC126" s="67"/>
    </row>
    <row r="127" spans="1:55" ht="25.5" hidden="1" customHeight="1" outlineLevel="1" thickBot="1" x14ac:dyDescent="0.3">
      <c r="A127" s="171"/>
      <c r="B127" s="169">
        <f>B62</f>
        <v>0</v>
      </c>
      <c r="C127" s="162" t="str">
        <f>C62</f>
        <v>GRA #4</v>
      </c>
      <c r="D127" s="19" t="str">
        <f>D62</f>
        <v>Spring</v>
      </c>
      <c r="E127" s="274">
        <v>4.1000000000000003E-3</v>
      </c>
      <c r="F127" s="735"/>
      <c r="G127" s="735"/>
      <c r="H127" s="735"/>
      <c r="I127" s="735"/>
      <c r="J127" s="735"/>
      <c r="K127" s="735"/>
      <c r="L127" s="735"/>
      <c r="M127" s="735"/>
      <c r="N127" s="735"/>
      <c r="O127" s="735"/>
      <c r="P127" s="735"/>
      <c r="Q127" s="735"/>
      <c r="R127" s="735"/>
      <c r="S127" s="735"/>
      <c r="T127" s="172">
        <f>ROUND($E$127*T62,0)</f>
        <v>0</v>
      </c>
      <c r="U127" s="172">
        <f>ROUND($E$127*U62,0)</f>
        <v>0</v>
      </c>
      <c r="V127" s="172">
        <f>ROUND($E$127*V62,0)</f>
        <v>0</v>
      </c>
      <c r="W127" s="172">
        <f>ROUND($E$127*W62,0)</f>
        <v>0</v>
      </c>
      <c r="X127" s="172">
        <f>ROUND($E$127*X62,0)</f>
        <v>0</v>
      </c>
      <c r="Y127" s="173">
        <f t="shared" si="84"/>
        <v>0</v>
      </c>
      <c r="Z127" s="561">
        <f t="shared" si="85"/>
        <v>0</v>
      </c>
      <c r="AA127" s="592">
        <f>ROUND($E$127*AA62,0)</f>
        <v>0</v>
      </c>
      <c r="AB127" s="310">
        <f>ROUND($E$127*AB62,0)</f>
        <v>0</v>
      </c>
      <c r="AC127" s="310">
        <f>ROUND($E$127*AC62,0)</f>
        <v>0</v>
      </c>
      <c r="AD127" s="310">
        <f>ROUND($E$127*AD62,0)</f>
        <v>0</v>
      </c>
      <c r="AE127" s="310">
        <f>ROUND($E$127*AE62,0)</f>
        <v>0</v>
      </c>
      <c r="AF127" s="314">
        <f t="shared" si="86"/>
        <v>0</v>
      </c>
      <c r="AO127" s="169">
        <f>AO62</f>
        <v>0</v>
      </c>
      <c r="AP127" s="162" t="str">
        <f>AP62</f>
        <v>GRA #4</v>
      </c>
      <c r="AQ127" s="19" t="str">
        <f>AQ62</f>
        <v>Full year</v>
      </c>
      <c r="AR127" s="274">
        <v>4.1000000000000003E-3</v>
      </c>
      <c r="AT127"/>
      <c r="BA127" s="150"/>
      <c r="BB127" s="67"/>
      <c r="BC127" s="67"/>
    </row>
    <row r="128" spans="1:55" ht="25.5" hidden="1" customHeight="1" outlineLevel="1" thickTop="1" thickBot="1" x14ac:dyDescent="0.3">
      <c r="A128" s="171"/>
      <c r="B128" s="170">
        <f>B61</f>
        <v>0</v>
      </c>
      <c r="C128" s="163">
        <f>C63</f>
        <v>0</v>
      </c>
      <c r="D128" s="19" t="str">
        <f>D63</f>
        <v>Summer</v>
      </c>
      <c r="E128" s="274">
        <v>8.0600000000000005E-2</v>
      </c>
      <c r="F128" s="735"/>
      <c r="G128" s="735"/>
      <c r="H128" s="735"/>
      <c r="I128" s="735"/>
      <c r="J128" s="735"/>
      <c r="K128" s="735"/>
      <c r="L128" s="735"/>
      <c r="M128" s="735"/>
      <c r="N128" s="735"/>
      <c r="O128" s="735"/>
      <c r="P128" s="735"/>
      <c r="Q128" s="735"/>
      <c r="R128" s="735"/>
      <c r="S128" s="735"/>
      <c r="T128" s="27">
        <f>ROUND($E$128*T63,0)</f>
        <v>0</v>
      </c>
      <c r="U128" s="27">
        <f>ROUND($E$128*U63,0)</f>
        <v>0</v>
      </c>
      <c r="V128" s="27">
        <f>ROUND($E$128*V63,0)</f>
        <v>0</v>
      </c>
      <c r="W128" s="27">
        <f>ROUND($E$128*W63,0)</f>
        <v>0</v>
      </c>
      <c r="X128" s="27">
        <f>ROUND($E$128*X63,0)</f>
        <v>0</v>
      </c>
      <c r="Y128" s="69">
        <f t="shared" si="84"/>
        <v>0</v>
      </c>
      <c r="Z128" s="561">
        <f t="shared" si="85"/>
        <v>0</v>
      </c>
      <c r="AA128" s="589">
        <f>ROUND($E$128*AA63,0)</f>
        <v>0</v>
      </c>
      <c r="AB128" s="247">
        <f>ROUND($E$128*AB63,0)</f>
        <v>0</v>
      </c>
      <c r="AC128" s="247">
        <f>ROUND($E$128*AC63,0)</f>
        <v>0</v>
      </c>
      <c r="AD128" s="247">
        <f>ROUND($E$128*AD63,0)</f>
        <v>0</v>
      </c>
      <c r="AE128" s="247">
        <f>ROUND($E$128*AE63,0)</f>
        <v>0</v>
      </c>
      <c r="AF128" s="248">
        <f t="shared" si="86"/>
        <v>0</v>
      </c>
      <c r="AO128" s="170">
        <f>AO61</f>
        <v>0</v>
      </c>
      <c r="AP128" s="163">
        <f>AP63</f>
        <v>0</v>
      </c>
      <c r="AQ128" s="19" t="str">
        <f>AQ63</f>
        <v>Summer</v>
      </c>
      <c r="AR128" s="274">
        <v>8.0600000000000005E-2</v>
      </c>
      <c r="AT128"/>
      <c r="BA128" s="150"/>
      <c r="BB128" s="67"/>
      <c r="BC128" s="67"/>
    </row>
    <row r="129" spans="1:55" ht="25.5" hidden="1" customHeight="1" outlineLevel="1" thickTop="1" x14ac:dyDescent="0.25">
      <c r="B129" s="38"/>
      <c r="C129" s="165"/>
      <c r="D129" s="698" t="s">
        <v>205</v>
      </c>
      <c r="E129" s="698"/>
      <c r="F129" s="735"/>
      <c r="G129" s="735"/>
      <c r="H129" s="735"/>
      <c r="I129" s="735"/>
      <c r="J129" s="735"/>
      <c r="K129" s="735"/>
      <c r="L129" s="735"/>
      <c r="M129" s="735"/>
      <c r="N129" s="735"/>
      <c r="O129" s="735"/>
      <c r="P129" s="735"/>
      <c r="Q129" s="735"/>
      <c r="R129" s="735"/>
      <c r="S129" s="735"/>
      <c r="T129" s="37" cm="1">
        <f t="array" ref="T129">ROUND(_xlfn.IFNA(_xlfn.IFS(AND(G62=20,N62=8.77,$D$127="Full year"),Rates!$C$21*$B$127,
AND(G62=20,N62=4.39,$D$127="Fall"),Rates!$C$22*$B$127,
AND(G62=20,N62=4.39,$D$127="Spring"),Rates!$C$23*$B$127)*1.05^G$2,0),0)</f>
        <v>0</v>
      </c>
      <c r="U129" s="37" cm="1">
        <f t="array" ref="U129">ROUND(_xlfn.IFNA(_xlfn.IFS(AND(H62=20,O62=8.77,$D$127="Full year"),Rates!$C$21*$B$127,
AND(H62=20,O62=4.39,$D$127="Fall"),Rates!$C$22*$B$127,
AND(H62=20,O62=4.39,$D$127="Spring"),Rates!$C$23*$B$127)*1.05^H$2,0),0)</f>
        <v>0</v>
      </c>
      <c r="V129" s="37" cm="1">
        <f t="array" ref="V129">ROUND(_xlfn.IFNA(_xlfn.IFS(AND(I62=20,P62=8.77,$D$127="Full year"),Rates!$C$21*$B$127,
AND(I62=20,P62=4.39,$D$127="Fall"),Rates!$C$22*$B$127,
AND(I62=20,P62=4.39,$D$127="Spring"),Rates!$C$23*$B$127)*1.05^I$2,0),0)</f>
        <v>0</v>
      </c>
      <c r="W129" s="37" cm="1">
        <f t="array" ref="W129">ROUND(_xlfn.IFNA(_xlfn.IFS(AND(J62=20,Q62=8.77,$D$127="Full year"),Rates!$C$21*$B$127,
AND(J62=20,Q62=4.39,$D$127="Fall"),Rates!$C$22*$B$127,
AND(J62=20,Q62=4.39,$D$127="Spring"),Rates!$C$23*$B$127)*1.05^J$2,0),0)</f>
        <v>0</v>
      </c>
      <c r="X129" s="37" cm="1">
        <f t="array" ref="X129">ROUND(_xlfn.IFNA(_xlfn.IFS(AND(K62=20,R62=8.77,$D$127="Full year"),Rates!$C$21*$B$127,
AND(K62=20,R62=4.39,$D$127="Fall"),Rates!$C$22*$B$127,
AND(K62=20,R62=4.39,$D$127="Spring"),Rates!$C$23*$B$127)*1.05^K$2,0),0)</f>
        <v>0</v>
      </c>
      <c r="Y129" s="72">
        <f t="shared" si="84"/>
        <v>0</v>
      </c>
      <c r="Z129" s="561">
        <f t="shared" si="85"/>
        <v>0</v>
      </c>
      <c r="AA129" s="590" cm="1">
        <f t="array" ref="AA129">_xlfn.IFNA(_xlfn.IFS(AND(AH62=20,AU62=8.77,$AQ$127="Full year"),Rates!$C$21*$AO$127,
AND(AH62=20,AU62=4.39,$AQ$127="Fall"),Rates!$C$21*$AO$127,
AND(AH62=20,AU62=4.39,$AQ$127="Spring"),Rates!$C$21*$AO$127)*1.05^G$2,0)</f>
        <v>0</v>
      </c>
      <c r="AB129" s="249" cm="1">
        <f t="array" ref="AB129">_xlfn.IFNA(_xlfn.IFS(AND(AI62=20,AV62=8.77,$AQ$127="Full year"),Rates!$C$21*$AO$127,
AND(AI62=20,AV62=4.39,$AQ$127="Fall"),Rates!$C$21*$AO$127,
AND(AI62=20,AV62=4.39,$AQ$127="Spring"),Rates!$C$21*$AO$127)*1.05^H$2,0)</f>
        <v>0</v>
      </c>
      <c r="AC129" s="249" cm="1">
        <f t="array" ref="AC129">_xlfn.IFNA(_xlfn.IFS(AND(AJ62=20,AW62=8.77,$AQ$127="Full year"),Rates!$C$21*$AO$127,
AND(AJ62=20,AW62=4.39,$AQ$127="Fall"),Rates!$C$21*$AO$127,
AND(AJ62=20,AW62=4.39,$AQ$127="Spring"),Rates!$C$21*$AO$127)*1.05^I$2,0)</f>
        <v>0</v>
      </c>
      <c r="AD129" s="249" cm="1">
        <f t="array" ref="AD129">_xlfn.IFNA(_xlfn.IFS(AND(AK62=20,AX62=8.77,$AQ$127="Full year"),Rates!$C$21*$AO$127,
AND(AK62=20,AX62=4.39,$AQ$127="Fall"),Rates!$C$21*$AO$127,
AND(AK62=20,AX62=4.39,$AQ$127="Spring"),Rates!$C$21*$AO$127)*1.05^J$2,0)</f>
        <v>0</v>
      </c>
      <c r="AE129" s="350" cm="1">
        <f t="array" ref="AE129">_xlfn.IFNA(_xlfn.IFS(AND(AL62=20,AY62=8.77,$AQ$127="Full year"),Rates!$C$21*$AO$127,
AND(AL62=20,AY62=4.39,$AQ$127="Fall"),Rates!$C$21*$AO$127,
AND(AL62=20,AY62=4.39,$AQ$127="Spring"),Rates!$C$21*$AO$127)*1.05^K$2,0)</f>
        <v>0</v>
      </c>
      <c r="AF129" s="349">
        <f t="shared" si="86"/>
        <v>0</v>
      </c>
      <c r="AO129" s="38"/>
      <c r="AP129" s="165"/>
      <c r="AQ129" s="698" t="s">
        <v>205</v>
      </c>
      <c r="AR129" s="698"/>
      <c r="AT129"/>
      <c r="BA129" s="150"/>
      <c r="BB129" s="67"/>
      <c r="BC129" s="67"/>
    </row>
    <row r="130" spans="1:55" ht="25.5" hidden="1" customHeight="1" outlineLevel="1" thickBot="1" x14ac:dyDescent="0.3">
      <c r="B130" s="35"/>
      <c r="C130" s="36"/>
      <c r="D130" s="665" t="s">
        <v>206</v>
      </c>
      <c r="E130" s="665"/>
      <c r="F130" s="735"/>
      <c r="G130" s="735"/>
      <c r="H130" s="735"/>
      <c r="I130" s="735"/>
      <c r="J130" s="735"/>
      <c r="K130" s="735"/>
      <c r="L130" s="735"/>
      <c r="M130" s="735"/>
      <c r="N130" s="735"/>
      <c r="O130" s="735"/>
      <c r="P130" s="735"/>
      <c r="Q130" s="735"/>
      <c r="R130" s="735"/>
      <c r="S130" s="735"/>
      <c r="T130" s="273"/>
      <c r="U130" s="273"/>
      <c r="V130" s="273"/>
      <c r="W130" s="319"/>
      <c r="X130" s="319"/>
      <c r="Y130" s="174">
        <f t="shared" si="84"/>
        <v>0</v>
      </c>
      <c r="Z130" s="561">
        <f t="shared" si="85"/>
        <v>0</v>
      </c>
      <c r="AA130" s="347"/>
      <c r="AB130" s="348"/>
      <c r="AC130" s="348"/>
      <c r="AD130" s="348"/>
      <c r="AE130" s="351"/>
      <c r="AF130" s="346">
        <f t="shared" si="86"/>
        <v>0</v>
      </c>
      <c r="AO130" s="35"/>
      <c r="AP130" s="36"/>
      <c r="AQ130" s="665" t="s">
        <v>206</v>
      </c>
      <c r="AR130" s="665"/>
      <c r="AT130"/>
      <c r="BA130" s="150"/>
      <c r="BB130" s="67"/>
      <c r="BC130" s="67"/>
    </row>
    <row r="131" spans="1:55" ht="25.5" hidden="1" customHeight="1" outlineLevel="1" thickBot="1" x14ac:dyDescent="0.3">
      <c r="A131" s="171"/>
      <c r="B131" s="169">
        <f t="shared" ref="B131:D132" si="92">B64</f>
        <v>0</v>
      </c>
      <c r="C131" s="162" t="str">
        <f t="shared" si="92"/>
        <v>GRA #5</v>
      </c>
      <c r="D131" s="19" t="str">
        <f t="shared" si="92"/>
        <v>Spring</v>
      </c>
      <c r="E131" s="275">
        <v>4.1000000000000003E-3</v>
      </c>
      <c r="F131" s="735"/>
      <c r="G131" s="735"/>
      <c r="H131" s="735"/>
      <c r="I131" s="735"/>
      <c r="J131" s="735"/>
      <c r="K131" s="735"/>
      <c r="L131" s="735"/>
      <c r="M131" s="735"/>
      <c r="N131" s="735"/>
      <c r="O131" s="735"/>
      <c r="P131" s="735"/>
      <c r="Q131" s="735"/>
      <c r="R131" s="735"/>
      <c r="S131" s="735"/>
      <c r="T131" s="172">
        <f>ROUND($E$131*T64,0)</f>
        <v>0</v>
      </c>
      <c r="U131" s="172">
        <f>ROUND($E$131*U64,0)</f>
        <v>0</v>
      </c>
      <c r="V131" s="172">
        <f>ROUND($E$131*V64,0)</f>
        <v>0</v>
      </c>
      <c r="W131" s="172">
        <f>ROUND($E$131*W64,0)</f>
        <v>0</v>
      </c>
      <c r="X131" s="172">
        <f>ROUND($E$131*X64,0)</f>
        <v>0</v>
      </c>
      <c r="Y131" s="173">
        <f t="shared" si="84"/>
        <v>0</v>
      </c>
      <c r="Z131" s="561">
        <f t="shared" si="85"/>
        <v>0</v>
      </c>
      <c r="AA131" s="592">
        <f>ROUND($E$131*AA64,0)</f>
        <v>0</v>
      </c>
      <c r="AB131" s="310">
        <f>ROUND($E$131*AB64,0)</f>
        <v>0</v>
      </c>
      <c r="AC131" s="310">
        <f>ROUND($E$131*AC64,0)</f>
        <v>0</v>
      </c>
      <c r="AD131" s="310">
        <f>ROUND($E$131*AD64,0)</f>
        <v>0</v>
      </c>
      <c r="AE131" s="310">
        <f>ROUND($E$131*AE64,0)</f>
        <v>0</v>
      </c>
      <c r="AF131" s="311">
        <f t="shared" si="86"/>
        <v>0</v>
      </c>
      <c r="AO131" s="169">
        <f t="shared" ref="AO131:AQ132" si="93">AO64</f>
        <v>0</v>
      </c>
      <c r="AP131" s="162" t="str">
        <f t="shared" si="93"/>
        <v>GRA #5</v>
      </c>
      <c r="AQ131" s="19" t="str">
        <f t="shared" si="93"/>
        <v>Full year</v>
      </c>
      <c r="AR131" s="275">
        <v>4.1000000000000003E-3</v>
      </c>
      <c r="AT131"/>
      <c r="BA131" s="150"/>
      <c r="BB131" s="67"/>
      <c r="BC131" s="67"/>
    </row>
    <row r="132" spans="1:55" ht="25.5" hidden="1" customHeight="1" outlineLevel="1" thickTop="1" thickBot="1" x14ac:dyDescent="0.3">
      <c r="A132" s="171"/>
      <c r="B132" s="170">
        <f t="shared" si="92"/>
        <v>0</v>
      </c>
      <c r="C132" s="163">
        <f t="shared" si="92"/>
        <v>0</v>
      </c>
      <c r="D132" s="19" t="str">
        <f t="shared" si="92"/>
        <v>Summer</v>
      </c>
      <c r="E132" s="271">
        <v>8.0600000000000005E-2</v>
      </c>
      <c r="F132" s="735"/>
      <c r="G132" s="735"/>
      <c r="H132" s="735"/>
      <c r="I132" s="735"/>
      <c r="J132" s="735"/>
      <c r="K132" s="735"/>
      <c r="L132" s="735"/>
      <c r="M132" s="735"/>
      <c r="N132" s="735"/>
      <c r="O132" s="735"/>
      <c r="P132" s="735"/>
      <c r="Q132" s="735"/>
      <c r="R132" s="735"/>
      <c r="S132" s="735"/>
      <c r="T132" s="27">
        <f>ROUND($E$132*T65,0)</f>
        <v>0</v>
      </c>
      <c r="U132" s="27">
        <f>ROUND($E$132*U65,0)</f>
        <v>0</v>
      </c>
      <c r="V132" s="27">
        <f>ROUND($E$132*V65,0)</f>
        <v>0</v>
      </c>
      <c r="W132" s="27">
        <f>ROUND($E$132*W65,0)</f>
        <v>0</v>
      </c>
      <c r="X132" s="27">
        <f>ROUND($E$132*X65,0)</f>
        <v>0</v>
      </c>
      <c r="Y132" s="69">
        <f t="shared" si="84"/>
        <v>0</v>
      </c>
      <c r="Z132" s="561">
        <f t="shared" si="85"/>
        <v>0</v>
      </c>
      <c r="AA132" s="589">
        <f>ROUND($E$132*AA65,0)</f>
        <v>0</v>
      </c>
      <c r="AB132" s="247">
        <f>ROUND($E$132*AB65,0)</f>
        <v>0</v>
      </c>
      <c r="AC132" s="247">
        <f>ROUND($E$132*AC65,0)</f>
        <v>0</v>
      </c>
      <c r="AD132" s="247">
        <f>ROUND($E$132*AD65,0)</f>
        <v>0</v>
      </c>
      <c r="AE132" s="247">
        <f>ROUND($E$132*AE65,0)</f>
        <v>0</v>
      </c>
      <c r="AF132" s="248">
        <f t="shared" si="86"/>
        <v>0</v>
      </c>
      <c r="AO132" s="170">
        <f t="shared" si="93"/>
        <v>0</v>
      </c>
      <c r="AP132" s="163">
        <f t="shared" si="93"/>
        <v>0</v>
      </c>
      <c r="AQ132" s="19" t="str">
        <f t="shared" si="93"/>
        <v>Summer</v>
      </c>
      <c r="AR132" s="271">
        <v>8.0600000000000005E-2</v>
      </c>
      <c r="AT132"/>
      <c r="BA132" s="150"/>
      <c r="BB132" s="67"/>
      <c r="BC132" s="67"/>
    </row>
    <row r="133" spans="1:55" ht="25.5" hidden="1" customHeight="1" outlineLevel="1" thickTop="1" x14ac:dyDescent="0.25">
      <c r="B133" s="38"/>
      <c r="C133" s="166"/>
      <c r="D133" s="698" t="s">
        <v>205</v>
      </c>
      <c r="E133" s="698"/>
      <c r="F133" s="735"/>
      <c r="G133" s="735"/>
      <c r="H133" s="735"/>
      <c r="I133" s="735"/>
      <c r="J133" s="735"/>
      <c r="K133" s="735"/>
      <c r="L133" s="735"/>
      <c r="M133" s="735"/>
      <c r="N133" s="735"/>
      <c r="O133" s="735"/>
      <c r="P133" s="735"/>
      <c r="Q133" s="735"/>
      <c r="R133" s="735"/>
      <c r="S133" s="735"/>
      <c r="T133" s="37" cm="1">
        <f t="array" ref="T133">ROUND(_xlfn.IFNA(_xlfn.IFS(AND(G64=20,N64=8.77,$D$131="Full year"),Rates!$C$21*$B$131,
AND(G64=20,N64=4.39,$D$131="Fall"),Rates!$C$22*$B$131,
AND(G64=20,N64=4.39,$D$131="Spring"),Rates!$C$23*$B$131)*1.05^G$2,0),0)</f>
        <v>0</v>
      </c>
      <c r="U133" s="37" cm="1">
        <f t="array" ref="U133">ROUND(_xlfn.IFNA(_xlfn.IFS(AND(H64=20,O64=8.77,$D$131="Full year"),Rates!$C$21*$B$131,
AND(H64=20,O64=4.39,$D$131="Fall"),Rates!$C$22*$B$131,
AND(H64=20,O64=4.39,$D$131="Spring"),Rates!$C$23*$B$131)*1.05^H$2,0),0)</f>
        <v>0</v>
      </c>
      <c r="V133" s="37" cm="1">
        <f t="array" ref="V133">ROUND(_xlfn.IFNA(_xlfn.IFS(AND(I64=20,P64=8.77,$D$131="Full year"),Rates!$C$21*$B$131,
AND(I64=20,P64=4.39,$D$131="Fall"),Rates!$C$22*$B$131,
AND(I64=20,P64=4.39,$D$131="Spring"),Rates!$C$23*$B$131)*1.05^I$2,0),0)</f>
        <v>0</v>
      </c>
      <c r="W133" s="37" cm="1">
        <f t="array" ref="W133">ROUND(_xlfn.IFNA(_xlfn.IFS(AND(J64=20,Q64=8.77,$D$131="Full year"),Rates!$C$21*$B$131,
AND(J64=20,Q64=4.39,$D$131="Fall"),Rates!$C$22*$B$131,
AND(J64=20,Q64=4.39,$D$131="Spring"),Rates!$C$23*$B$131)*1.05^J$2,0),0)</f>
        <v>0</v>
      </c>
      <c r="X133" s="37" cm="1">
        <f t="array" ref="X133">ROUND(_xlfn.IFNA(_xlfn.IFS(AND(K64=20,R64=8.77,$D$131="Full year"),Rates!$C$21*$B$131,
AND(K64=20,R64=4.39,$D$131="Fall"),Rates!$C$22*$B$131,
AND(K64=20,R64=4.39,$D$131="Spring"),Rates!$C$23*$B$131)*1.05^K$2,0),0)</f>
        <v>0</v>
      </c>
      <c r="Y133" s="72">
        <f t="shared" si="84"/>
        <v>0</v>
      </c>
      <c r="Z133" s="561">
        <f t="shared" si="85"/>
        <v>0</v>
      </c>
      <c r="AA133" s="590" cm="1">
        <f t="array" ref="AA133">_xlfn.IFNA(_xlfn.IFS(AND(AH64=20,AU64=8.77,$AQ$131="Full year"),Rates!$C$21*$AO$131,
AND(AH64=20,AU64=4.39,$AQ$131="Fall"),Rates!$C$22*$AO$131,
AND(AH64=20,AU64=4.39,$AQ$131="Spring"),Rates!$C$23*$AO$131)*1.05^G$2,0)</f>
        <v>0</v>
      </c>
      <c r="AB133" s="249" cm="1">
        <f t="array" ref="AB133">_xlfn.IFNA(_xlfn.IFS(AND(AI64=20,AV64=8.77,$AQ$131="Full year"),Rates!$C$21*$AO$131,
AND(AI64=20,AV64=4.39,$AQ$131="Fall"),Rates!$C$22*$AO$131,
AND(AI64=20,AV64=4.39,$AQ$131="Spring"),Rates!$C$23*$AO$131)*1.05^H$2,0)</f>
        <v>0</v>
      </c>
      <c r="AC133" s="249" cm="1">
        <f t="array" ref="AC133">_xlfn.IFNA(_xlfn.IFS(AND(AJ64=20,AW64=8.77,$AQ$131="Full year"),Rates!$C$21*$AO$131,
AND(AJ64=20,AW64=4.39,$AQ$131="Fall"),Rates!$C$22*$AO$131,
AND(AJ64=20,AW64=4.39,$AQ$131="Spring"),Rates!$C$23*$AO$131)*1.05^I$2,0)</f>
        <v>0</v>
      </c>
      <c r="AD133" s="249" cm="1">
        <f t="array" ref="AD133">_xlfn.IFNA(_xlfn.IFS(AND(AK64=20,AX64=8.77,$AQ$131="Full year"),Rates!$C$21*$AO$131,
AND(AK64=20,AX64=4.39,$AQ$131="Fall"),Rates!$C$22*$AO$131,
AND(AK64=20,AX64=4.39,$AQ$131="Spring"),Rates!$C$23*$AO$131)*1.05^J$2,0)</f>
        <v>0</v>
      </c>
      <c r="AE133" s="249" cm="1">
        <f t="array" ref="AE133">_xlfn.IFNA(_xlfn.IFS(AND(AL64=20,AY64=8.77,$AQ$131="Full year"),Rates!$C$21*$AO$131,
AND(AL64=20,AY64=4.39,$AQ$131="Fall"),Rates!$C$22*$AO$131,
AND(AL64=20,AY64=4.39,$AQ$131="Spring"),Rates!$C$23*$AO$131)*1.05^K$2,0)</f>
        <v>0</v>
      </c>
      <c r="AF133" s="251">
        <f t="shared" si="86"/>
        <v>0</v>
      </c>
      <c r="AO133" s="38"/>
      <c r="AP133" s="166"/>
      <c r="AQ133" s="698" t="s">
        <v>205</v>
      </c>
      <c r="AR133" s="698"/>
      <c r="AT133"/>
      <c r="BA133" s="150"/>
      <c r="BB133" s="67"/>
      <c r="BC133" s="67"/>
    </row>
    <row r="134" spans="1:55" ht="25.5" hidden="1" customHeight="1" outlineLevel="1" thickBot="1" x14ac:dyDescent="0.3">
      <c r="B134" s="35"/>
      <c r="C134" s="36"/>
      <c r="D134" s="665" t="s">
        <v>206</v>
      </c>
      <c r="E134" s="665"/>
      <c r="F134" s="735"/>
      <c r="G134" s="735"/>
      <c r="H134" s="735"/>
      <c r="I134" s="735"/>
      <c r="J134" s="735"/>
      <c r="K134" s="735"/>
      <c r="L134" s="735"/>
      <c r="M134" s="735"/>
      <c r="N134" s="735"/>
      <c r="O134" s="735"/>
      <c r="P134" s="735"/>
      <c r="Q134" s="735"/>
      <c r="R134" s="735"/>
      <c r="S134" s="735"/>
      <c r="T134" s="273"/>
      <c r="U134" s="273"/>
      <c r="V134" s="273"/>
      <c r="W134" s="319"/>
      <c r="X134" s="319"/>
      <c r="Y134" s="174">
        <f t="shared" si="84"/>
        <v>0</v>
      </c>
      <c r="Z134" s="561">
        <f t="shared" si="85"/>
        <v>0</v>
      </c>
      <c r="AA134" s="591"/>
      <c r="AB134" s="273"/>
      <c r="AC134" s="273"/>
      <c r="AD134" s="273"/>
      <c r="AE134" s="273"/>
      <c r="AF134" s="313">
        <f t="shared" si="86"/>
        <v>0</v>
      </c>
      <c r="AO134" s="35"/>
      <c r="AP134" s="36"/>
      <c r="AQ134" s="665" t="s">
        <v>206</v>
      </c>
      <c r="AR134" s="665"/>
      <c r="AT134"/>
      <c r="BA134" s="150"/>
      <c r="BB134" s="67"/>
      <c r="BC134" s="67"/>
    </row>
    <row r="135" spans="1:55" ht="39.75" customHeight="1" collapsed="1" x14ac:dyDescent="0.25">
      <c r="B135" s="720" t="s">
        <v>207</v>
      </c>
      <c r="C135" s="720"/>
      <c r="D135" s="720"/>
      <c r="E135" s="720"/>
      <c r="F135" s="720"/>
      <c r="G135" s="720"/>
      <c r="H135" s="720"/>
      <c r="I135" s="720"/>
      <c r="J135" s="720"/>
      <c r="K135" s="720"/>
      <c r="L135" s="720"/>
      <c r="M135" s="720"/>
      <c r="N135" s="720"/>
      <c r="O135" s="720"/>
      <c r="P135" s="720"/>
      <c r="Q135" s="356"/>
      <c r="R135" s="356"/>
      <c r="S135" s="356"/>
      <c r="T135" s="368">
        <f t="shared" ref="T135:Y135" si="94">ROUND(SUM(T115:T118,T119:T122,T123:T126,T127:T130,T131:T134),0)</f>
        <v>0</v>
      </c>
      <c r="U135" s="368">
        <f t="shared" si="94"/>
        <v>0</v>
      </c>
      <c r="V135" s="368">
        <f t="shared" si="94"/>
        <v>0</v>
      </c>
      <c r="W135" s="368">
        <f t="shared" si="94"/>
        <v>0</v>
      </c>
      <c r="X135" s="368">
        <f t="shared" si="94"/>
        <v>0</v>
      </c>
      <c r="Y135" s="377">
        <f t="shared" si="94"/>
        <v>0</v>
      </c>
      <c r="Z135" s="561">
        <f t="shared" si="85"/>
        <v>0</v>
      </c>
      <c r="AA135" s="444">
        <f t="shared" ref="AA135:AF135" si="95">SUM(AA115:AA118,AA119:AA122,AA123:AA126,AA127:AA130,AA131:AA134)</f>
        <v>0</v>
      </c>
      <c r="AB135" s="444">
        <f t="shared" si="95"/>
        <v>0</v>
      </c>
      <c r="AC135" s="444">
        <f t="shared" si="95"/>
        <v>0</v>
      </c>
      <c r="AD135" s="444">
        <f t="shared" si="95"/>
        <v>0</v>
      </c>
      <c r="AE135" s="444">
        <f t="shared" si="95"/>
        <v>0</v>
      </c>
      <c r="AF135" s="445">
        <f t="shared" si="95"/>
        <v>0</v>
      </c>
      <c r="AG135" s="405"/>
      <c r="AH135" s="702" t="s">
        <v>207</v>
      </c>
      <c r="AI135" s="702"/>
      <c r="AJ135" s="702"/>
      <c r="AK135" s="702"/>
      <c r="AL135" s="702"/>
      <c r="AM135" s="702"/>
      <c r="AN135" s="702"/>
      <c r="AO135" s="702"/>
      <c r="AP135" s="702"/>
      <c r="AQ135" s="702"/>
      <c r="AR135" s="702"/>
      <c r="AS135" s="702"/>
      <c r="AT135" s="702"/>
      <c r="AU135" s="702"/>
      <c r="AV135" s="702"/>
      <c r="AW135" s="702"/>
      <c r="AX135" s="702"/>
      <c r="AY135" s="702"/>
      <c r="AZ135" s="703"/>
      <c r="BA135" s="150"/>
      <c r="BB135" s="67"/>
      <c r="BC135" s="67"/>
    </row>
    <row r="136" spans="1:55" ht="42.75" customHeight="1" thickBot="1" x14ac:dyDescent="0.35">
      <c r="B136" s="729" t="s">
        <v>208</v>
      </c>
      <c r="C136" s="729"/>
      <c r="D136" s="729"/>
      <c r="E136" s="729"/>
      <c r="F136" s="729"/>
      <c r="G136" s="729"/>
      <c r="H136" s="729"/>
      <c r="I136" s="729"/>
      <c r="J136" s="729"/>
      <c r="K136" s="729"/>
      <c r="L136" s="729"/>
      <c r="M136" s="729"/>
      <c r="N136" s="729"/>
      <c r="O136" s="729"/>
      <c r="P136" s="729"/>
      <c r="Q136" s="729"/>
      <c r="R136" s="729"/>
      <c r="S136" s="729"/>
      <c r="T136" s="729"/>
      <c r="U136" s="729"/>
      <c r="V136" s="729"/>
      <c r="W136" s="729"/>
      <c r="X136" s="729"/>
      <c r="Y136" s="729"/>
      <c r="Z136" s="561"/>
      <c r="AA136" s="660" t="s">
        <v>209</v>
      </c>
      <c r="AB136" s="660"/>
      <c r="AC136" s="660"/>
      <c r="AD136" s="660"/>
      <c r="AE136" s="660"/>
      <c r="AF136" s="660"/>
      <c r="AG136" s="660"/>
      <c r="AH136" s="660"/>
      <c r="AI136" s="660"/>
      <c r="AJ136" s="660"/>
      <c r="AK136" s="660"/>
      <c r="AL136" s="660"/>
      <c r="AM136" s="660"/>
      <c r="AN136" s="660"/>
      <c r="AO136" s="660"/>
      <c r="AP136" s="660"/>
      <c r="AQ136" s="660"/>
      <c r="AR136" s="660"/>
      <c r="AS136" s="660"/>
      <c r="AT136" s="660"/>
      <c r="AU136" s="660"/>
      <c r="AV136" s="660"/>
      <c r="AW136" s="660"/>
      <c r="AX136" s="660"/>
      <c r="AY136" s="660"/>
      <c r="AZ136" s="660"/>
    </row>
    <row r="137" spans="1:55" ht="57.75" customHeight="1" thickTop="1" x14ac:dyDescent="0.25">
      <c r="B137" s="53" t="s">
        <v>144</v>
      </c>
      <c r="C137" s="53" t="s">
        <v>145</v>
      </c>
      <c r="D137" s="54" t="s">
        <v>76</v>
      </c>
      <c r="E137" s="54" t="s">
        <v>210</v>
      </c>
      <c r="F137" s="54" t="s">
        <v>211</v>
      </c>
      <c r="G137" s="811"/>
      <c r="H137" s="811"/>
      <c r="I137" s="811"/>
      <c r="J137" s="811"/>
      <c r="K137" s="811"/>
      <c r="L137" s="811"/>
      <c r="M137" s="811"/>
      <c r="N137" s="811"/>
      <c r="O137" s="811"/>
      <c r="P137" s="811"/>
      <c r="Q137" s="811"/>
      <c r="R137" s="811"/>
      <c r="S137" s="811"/>
      <c r="T137" s="55" t="s">
        <v>128</v>
      </c>
      <c r="U137" s="55" t="s">
        <v>201</v>
      </c>
      <c r="V137" s="55" t="s">
        <v>202</v>
      </c>
      <c r="W137" s="55" t="s">
        <v>203</v>
      </c>
      <c r="X137" s="55" t="s">
        <v>204</v>
      </c>
      <c r="Y137" s="376" t="s">
        <v>112</v>
      </c>
      <c r="Z137" s="561"/>
      <c r="AA137" s="55" t="s">
        <v>128</v>
      </c>
      <c r="AB137" s="55" t="s">
        <v>201</v>
      </c>
      <c r="AC137" s="55" t="s">
        <v>202</v>
      </c>
      <c r="AD137" s="55" t="s">
        <v>203</v>
      </c>
      <c r="AE137" s="387" t="s">
        <v>204</v>
      </c>
      <c r="AF137" s="388" t="s">
        <v>112</v>
      </c>
      <c r="AG137" s="389"/>
      <c r="AO137" s="53" t="s">
        <v>144</v>
      </c>
      <c r="AP137" s="53" t="s">
        <v>145</v>
      </c>
      <c r="AQ137" s="53" t="s">
        <v>76</v>
      </c>
      <c r="AR137" s="53" t="s">
        <v>210</v>
      </c>
      <c r="AS137" s="54" t="s">
        <v>211</v>
      </c>
      <c r="AZ137" s="205"/>
    </row>
    <row r="138" spans="1:55" ht="30" customHeight="1" thickBot="1" x14ac:dyDescent="0.3">
      <c r="B138" s="50">
        <f>B56</f>
        <v>0</v>
      </c>
      <c r="C138" s="19" t="str">
        <f t="shared" ref="B138:D147" si="96">C56</f>
        <v>GRA # 1</v>
      </c>
      <c r="D138" s="19" t="str">
        <f t="shared" si="96"/>
        <v>Spring</v>
      </c>
      <c r="E138" s="41" t="s">
        <v>212</v>
      </c>
      <c r="F138" s="42">
        <f>Rates!C15</f>
        <v>12936</v>
      </c>
      <c r="G138" s="812"/>
      <c r="H138" s="812"/>
      <c r="I138" s="812"/>
      <c r="J138" s="812"/>
      <c r="K138" s="812"/>
      <c r="L138" s="812"/>
      <c r="M138" s="812"/>
      <c r="N138" s="812"/>
      <c r="O138" s="812"/>
      <c r="P138" s="812"/>
      <c r="Q138" s="812"/>
      <c r="R138" s="812"/>
      <c r="S138" s="812"/>
      <c r="T138" s="723" cm="1">
        <f t="array" ref="T138">ROUND(_xlfn.IFNA(_xlfn.IFS(AND(G56=20, N56=8.77,$D138="Full year"),$B138*$F138,
AND(G56&gt;=10, G56&lt;=19, N56&gt;=4.39,N56&lt;=8.33,$D138="Full year"),$B138*$F139,
AND(G56=20,N56=4.39,$D138="Fall"),$B138*$F139,
AND(G56&gt;=10, G56&lt;=19, N56&gt;=2.19,N56&lt;=4.17,$D138="Fall"),$B138*($F139/2),
AND(G56=20, N56=4.39,$D138="Spring"),$B138*$F139,
AND(G56&gt;=10, G56&lt;=19, N56&gt;=2.19,N56&lt;=4.17,$D138="Spring"),$B138*($F139/2))*1.05^G$2,0),0)</f>
        <v>0</v>
      </c>
      <c r="U138" s="723" cm="1">
        <f t="array" ref="U138">ROUND(_xlfn.IFNA(_xlfn.IFS(AND(H56=20, O56=8.77,$D138="Full year"),$B138*$F138,
AND(H56&gt;=10, H56&lt;=19, O56&gt;=4.39,O56&lt;=8.33,$D138="Full year"),$B138*$F139,
AND(H56=20,O56=4.39,$D138="Fall"),$B138*$F139,
AND(H56&gt;=10, H56&lt;=19, O56&gt;=2.19,O56&lt;=4.17,$D138="Fall"),$B138*($F139/2),
AND(H56=20, O56=4.39,$D138="Spring"),$B138*$F139,
AND(H56&gt;=10, H56&lt;=19, O56&gt;=2.19,O56&lt;=4.17,$D138="Spring"),$B138*($F139/2))*1.05^H$2,0),0)</f>
        <v>0</v>
      </c>
      <c r="V138" s="723" cm="1">
        <f t="array" ref="V138">ROUND(_xlfn.IFNA(_xlfn.IFS(AND(I56=20, P56=8.77,$D138="Full year"),$B138*$F138,
AND(I56&gt;=10, I56&lt;=19, P56&gt;=4.39,P56&lt;=8.33,$D138="Full year"),$B138*$F139,
AND(I56=20,P56=4.39,$D138="Fall"),$B138*$F139,
AND(I56&gt;=10, I56&lt;=19, P56&gt;=2.19,P56&lt;=4.17,$D138="Fall"),$B138*($F139/2),
AND(I56=20, P56=4.39,$D138="Spring"),$B138*$F139,
AND(I56&gt;=10, I56&lt;=19, P56&gt;=2.19,P56&lt;=4.17,$D138="Spring"),$B138*($F139/2))*1.05^I$2,0),0)</f>
        <v>0</v>
      </c>
      <c r="W138" s="723" cm="1">
        <f t="array" ref="W138">ROUND(_xlfn.IFNA(_xlfn.IFS(AND(J56=20, Q56=8.77,$D138="Full year"),$B138*$F138,
AND(J56&gt;=10, J56&lt;=19, Q56&gt;=4.39,Q56&lt;=8.33,$D138="Full year"),$B138*$F139,
AND(J56=20,Q56=4.39,$D138="Fall"),$B138*$F139,
AND(J56&gt;=10, J56&lt;=19, Q56&gt;=2.19,Q56&lt;=4.17,$D138="Fall"),$B138*($F139/2),
AND(J56=20, Q56=4.39,$D138="Spring"),$B138*$F139,
AND(J56&gt;=10, J56&lt;=19, Q56&gt;=2.19,Q56&lt;=4.17,$D138="Spring"),$B138*($F139/2))*1.05^J$2,0),0)</f>
        <v>0</v>
      </c>
      <c r="X138" s="723" cm="1">
        <f t="array" ref="X138">ROUND(_xlfn.IFNA(_xlfn.IFS(AND(K56=20, R56=8.77,$D138="Full year"),$B138*$F138,
AND(K56&gt;=10, K56&lt;=19, R56&gt;=4.39,R56&lt;=8.33,$D138="Full year"),$B138*$F139,
AND(K56=20,R56=4.39,$D138="Fall"),$B138*$F139,
AND(K56&gt;=10, K56&lt;=19, R56&gt;=2.19,R56&lt;=4.17,$D138="Fall"),$B138*($F139/2),
AND(K56=20, R56=4.39,$D138="Spring"),$B138*$F139,
AND(K56&gt;=10, K56&lt;=19, R56&gt;=2.19,R56&lt;=4.17,$D138="Spring"),$B138*($F139/2))*1.05^K$2,0),0)</f>
        <v>0</v>
      </c>
      <c r="Y138" s="730">
        <f>ROUND(SUM(T138:X139),0)</f>
        <v>0</v>
      </c>
      <c r="Z138" s="722">
        <f>Y138+AF138</f>
        <v>0</v>
      </c>
      <c r="AA138" s="813" cm="1">
        <f t="array" ref="AA138">_xlfn.IFNA(_xlfn.IFS(AND(AH56=20, AU56=8.77,$AQ138="Full year"),$AO138*$AS138,
AND(AH56&gt;=10, AH56&lt;=19, AU56&gt;=4.39,AU56&lt;=8.33,$AQ138="Full year"),$AO138*$AS139,
AND(AH56=20,AU56=4.39,$AQ138="Fall"),$AO138*$AS139,
AND(AH56&gt;=10, AH56&lt;=19, AU56&gt;=2.19,AU56&lt;=4.17,$AQ138="Fall"),$AO138*($AS139/2),
AND(AH56=20, AU56=4.39,$AQ138="Spring"),$AO138*$AS139,
AND(AH56&gt;=10, AH56&lt;=19, AU56&gt;=2.19,AU56&lt;=4.17,$AQ138="Spring"),$AO138*($AS139/2))*1.05^G$2,0)</f>
        <v>0</v>
      </c>
      <c r="AB138" s="803" cm="1">
        <f t="array" ref="AB138">_xlfn.IFNA(_xlfn.IFS(AND(AI56=20, AV56=8.77,$AQ138="Full year"),$AO138*$AS138,
AND(AI56&gt;=10, AI56&lt;=19, AV56&gt;=4.39,AV56&lt;=8.33,$AQ138="Full year"),$AO138*$AS139,
AND(AI56=20,AV56=4.39,$AQ138="Fall"),$AO138*$AS139,
AND(AI56&gt;=10, AI56&lt;=19, AV56&gt;=2.19,AV56&lt;=4.17,$AQ138="Fall"),$AO138*($AS139/2),
AND(AI56=20, AV56=4.39,$AQ138="Spring"),$AO138*$AS139,
AND(AI56&gt;=10, AI56&lt;=19, AV56&gt;=2.19,AV56&lt;=4.17,$AQ138="Spring"),$AO138*($AS139/2))*1.05^H$2,0)</f>
        <v>0</v>
      </c>
      <c r="AC138" s="803" cm="1">
        <f t="array" ref="AC138">_xlfn.IFNA(_xlfn.IFS(AND(AJ56=20, AW56=8.77,$AQ138="Full year"),$AO138*$AS138,
AND(AJ56&gt;=10, AJ56&lt;=19, AW56&gt;=4.39,AW56&lt;=8.33,$AQ138="Full year"),$AO138*$AS139,
AND(AJ56=20,AW56=4.39,$AQ138="Fall"),$AO138*$AS139,
AND(AJ56&gt;=10, AJ56&lt;=19, AW56&gt;=2.19,AW56&lt;=4.17,$AQ138="Fall"),$AO138*($AS139/2),
AND(AJ56=20, AW56=4.39,$AQ138="Spring"),$AO138*$AS139,
AND(AJ56&gt;=10, AJ56&lt;=19, AW56&gt;=2.19,AW56&lt;=4.17,$AQ138="Spring"),$AO138*($AS139/2))*1.05^I$2,0)</f>
        <v>0</v>
      </c>
      <c r="AD138" s="803" cm="1">
        <f t="array" ref="AD138">_xlfn.IFNA(_xlfn.IFS(AND(AK56=20, AX56=8.77,$AQ138="Full year"),$AO138*$AS138,
AND(AK56&gt;=10, AK56&lt;=19, AX56&gt;=4.39,AX56&lt;=8.33,$AQ138="Full year"),$AO138*$AS139,
AND(AK56=20,AX56=4.39,$AQ138="Fall"),$AO138*$AS139,
AND(AK56&gt;=10, AK56&lt;=19, AX56&gt;=2.19,AX56&lt;=4.17,$AQ138="Fall"),$AO138*($AS139/2),
AND(AK56=20, AX56=4.39,$AQ138="Spring"),$AO138*$AS139,
AND(AK56&gt;=10, AK56&lt;=19, AX56&gt;=2.19,AX56&lt;=4.17,$AQ138="Spring"),$AO138*($AS139/2))*1.05^J$2,0)</f>
        <v>0</v>
      </c>
      <c r="AE138" s="803" cm="1">
        <f t="array" ref="AE138">_xlfn.IFNA(_xlfn.IFS(AND(AL56=20, AY56=8.77,$AQ138="Full year"),$AO138*$AS138,
AND(AL56&gt;=10, AL56&lt;=19, AY56&gt;=4.39,AY56&lt;=8.33,$AQ138="Full year"),$AO138*$AS139,
AND(AL56=20,AY56=4.39,$AQ138="Fall"),$AO138*$AS139,
AND(AL56&gt;=10, AL56&lt;=19, AY56&gt;=2.19,AY56&lt;=4.17,$AQ138="Fall"),$AO138*($AS139/2),
AND(AL56=20, AY56=4.39,$AQ138="Spring"),$AO138*$AS139,
AND(AL56&gt;=10, AL56&lt;=19, AY56&gt;=2.19,AY56&lt;=4.17,$AQ138="Spring"),$AO138*($AS139/2))*1.05^K$2,0)</f>
        <v>0</v>
      </c>
      <c r="AF138" s="815">
        <f>SUM(AA138:AE139)</f>
        <v>0</v>
      </c>
      <c r="AO138" s="50">
        <f t="shared" ref="AO138:AQ147" si="97">AO56</f>
        <v>0</v>
      </c>
      <c r="AP138" s="19" t="str">
        <f t="shared" si="97"/>
        <v>GRA # 0</v>
      </c>
      <c r="AQ138" s="19" t="str">
        <f t="shared" si="97"/>
        <v>Full year</v>
      </c>
      <c r="AR138" s="41" t="s">
        <v>212</v>
      </c>
      <c r="AS138" s="42">
        <f>Rates!C15</f>
        <v>12936</v>
      </c>
      <c r="AZ138" s="151"/>
    </row>
    <row r="139" spans="1:55" ht="30" customHeight="1" thickTop="1" thickBot="1" x14ac:dyDescent="0.3">
      <c r="B139" s="50">
        <f>B57</f>
        <v>0</v>
      </c>
      <c r="C139" s="159">
        <f t="shared" si="96"/>
        <v>0</v>
      </c>
      <c r="D139" s="19" t="str">
        <f t="shared" si="96"/>
        <v>Summer</v>
      </c>
      <c r="E139" s="43" t="s">
        <v>213</v>
      </c>
      <c r="F139" s="44">
        <f>Rates!C16</f>
        <v>6468</v>
      </c>
      <c r="G139" s="812"/>
      <c r="H139" s="812"/>
      <c r="I139" s="812"/>
      <c r="J139" s="812"/>
      <c r="K139" s="812"/>
      <c r="L139" s="812"/>
      <c r="M139" s="812"/>
      <c r="N139" s="812"/>
      <c r="O139" s="812"/>
      <c r="P139" s="812"/>
      <c r="Q139" s="812"/>
      <c r="R139" s="812"/>
      <c r="S139" s="812"/>
      <c r="T139" s="724"/>
      <c r="U139" s="724"/>
      <c r="V139" s="724"/>
      <c r="W139" s="724"/>
      <c r="X139" s="724"/>
      <c r="Y139" s="731"/>
      <c r="Z139" s="722"/>
      <c r="AA139" s="814"/>
      <c r="AB139" s="804"/>
      <c r="AC139" s="804"/>
      <c r="AD139" s="804"/>
      <c r="AE139" s="804"/>
      <c r="AF139" s="806"/>
      <c r="AO139" s="50">
        <f t="shared" si="97"/>
        <v>0</v>
      </c>
      <c r="AP139" s="159">
        <f t="shared" si="97"/>
        <v>0</v>
      </c>
      <c r="AQ139" s="19" t="str">
        <f t="shared" si="97"/>
        <v>Summer</v>
      </c>
      <c r="AR139" s="43" t="s">
        <v>213</v>
      </c>
      <c r="AS139" s="214">
        <f>Rates!C16</f>
        <v>6468</v>
      </c>
      <c r="AZ139" s="151"/>
    </row>
    <row r="140" spans="1:55" ht="30" hidden="1" customHeight="1" outlineLevel="1" thickTop="1" thickBot="1" x14ac:dyDescent="0.3">
      <c r="B140" s="50">
        <f t="shared" si="96"/>
        <v>0</v>
      </c>
      <c r="C140" s="19" t="str">
        <f t="shared" si="96"/>
        <v>GRA #2</v>
      </c>
      <c r="D140" s="19" t="str">
        <f t="shared" si="96"/>
        <v>Spring</v>
      </c>
      <c r="E140" s="41" t="s">
        <v>212</v>
      </c>
      <c r="F140" s="42">
        <f>Rates!C15</f>
        <v>12936</v>
      </c>
      <c r="G140" s="812"/>
      <c r="H140" s="812"/>
      <c r="I140" s="812"/>
      <c r="J140" s="812"/>
      <c r="K140" s="812"/>
      <c r="L140" s="812"/>
      <c r="M140" s="812"/>
      <c r="N140" s="812"/>
      <c r="O140" s="812"/>
      <c r="P140" s="812"/>
      <c r="Q140" s="812"/>
      <c r="R140" s="812"/>
      <c r="S140" s="812"/>
      <c r="T140" s="723" cm="1">
        <f t="array" ref="T140">ROUND(_xlfn.IFNA(_xlfn.IFS(AND(G58=20, N58=8.77,$D140="Full year"),$B140*$F140,
AND(G58&gt;=10, G58&lt;=19, N58&gt;=4.39,N58&lt;=8.33,$D140="Full year"),$B140*$F141,
AND(G58=20,N58=4.39,$D140="Fall"),$B140*$F141,
AND(G58&gt;=10, G58&lt;=19, N58&gt;=2.19,N58&lt;=4.17,$D140="Fall"),$B140*($F141/2),
AND(G58=20, N58=4.39,$D140="Spring"),$B140*$F141,
AND(G58&gt;=10, G58&lt;=19, N58&gt;=2.19,N58&lt;=4.17,$D140="Spring"),$B140*($F141/2))*1.05^G$2,0),0)</f>
        <v>0</v>
      </c>
      <c r="U140" s="723" cm="1">
        <f t="array" ref="U140">ROUND(_xlfn.IFNA(_xlfn.IFS(AND(H58=20, O58=8.77,$D140="Full year"),$B140*$F140,
AND(H58&gt;=10, H58&lt;=19, O58&gt;=4.39,O58&lt;=8.33,$D140="Full year"),$B140*$F141,
AND(H58=20,O58=4.39,$D140="Fall"),$B140*$F141,
AND(H58&gt;=10, H58&lt;=19, O58&gt;=2.19,O58&lt;=4.17,$D140="Fall"),$B140*($F141/2),
AND(H58=20, O58=4.39,$D140="Spring"),$B140*$F141,
AND(H58&gt;=10, H58&lt;=19, O58&gt;=2.19,O58&lt;=4.17,$D140="Spring"),$B140*($F141/2))*1.05^H$2,0),0)</f>
        <v>0</v>
      </c>
      <c r="V140" s="723" cm="1">
        <f t="array" ref="V140">ROUND(_xlfn.IFNA(_xlfn.IFS(AND(I58=20, P58=8.77,$D140="Full year"),$B140*$F140,
AND(I58&gt;=10, I58&lt;=19, P58&gt;=4.39,P58&lt;=8.33,$D140="Full year"),$B140*$F141,
AND(I58=20,P58=4.39,$D140="Fall"),$B140*$F141,
AND(I58&gt;=10, I58&lt;=19, P58&gt;=2.19,P58&lt;=4.17,$D140="Fall"),$B140*($F141/2),
AND(I58=20, P58=4.39,$D140="Spring"),$B140*$F141,
AND(I58&gt;=10, I58&lt;=19, P58&gt;=2.19,P58&lt;=4.17,$D140="Spring"),$B140*($F141/2))*1.05^I$2,0),0)</f>
        <v>0</v>
      </c>
      <c r="W140" s="723" cm="1">
        <f t="array" ref="W140">ROUND(_xlfn.IFNA(_xlfn.IFS(AND(J58=20, Q58=8.77,$D140="Full year"),$B140*$F140,
AND(J58&gt;=10, J58&lt;=19, Q58&gt;=4.39,Q58&lt;=8.33,$D140="Full year"),$B140*$F141,
AND(J58=20,Q58=4.39,$D140="Fall"),$B140*$F141,
AND(J58&gt;=10, J58&lt;=19, Q58&gt;=2.19,Q58&lt;=4.17,$D140="Fall"),$B140*($F141/2),
AND(J58=20, Q58=4.39,$D140="Spring"),$B140*$F141,
AND(J58&gt;=10, J58&lt;=19, Q58&gt;=2.19,Q58&lt;=4.17,$D140="Spring"),$B140*($F141/2))*1.05^J$2,0),0)</f>
        <v>0</v>
      </c>
      <c r="X140" s="723" cm="1">
        <f t="array" ref="X140">ROUND(_xlfn.IFNA(_xlfn.IFS(AND(K58=20, R58=8.77,$D140="Full year"),$B140*$F140,
AND(K58&gt;=10, K58&lt;=19, R58&gt;=4.39,R58&lt;=8.33,$D140="Full year"),$B140*$F141,
AND(K58=20,R58=4.39,$D140="Fall"),$B140*$F141,
AND(K58&gt;=10, K58&lt;=19, R58&gt;=2.19,R58&lt;=4.17,$D140="Fall"),$B140*($F141/2),
AND(K58=20, R58=4.39,$D140="Spring"),$B140*$F141,
AND(K58&gt;=10, K58&lt;=19, R58&gt;=2.19,R58&lt;=4.17,$D140="Spring"),$B140*($F141/2))*1.05^K$2,0),0)</f>
        <v>0</v>
      </c>
      <c r="Y140" s="733">
        <f>ROUND(SUM(T140:X141),0)</f>
        <v>0</v>
      </c>
      <c r="Z140" s="722">
        <f>Y140+AF140</f>
        <v>0</v>
      </c>
      <c r="AA140" s="813" cm="1">
        <f t="array" ref="AA140">_xlfn.IFNA(_xlfn.IFS(AND(AH58=20, AU58=8.77,$AQ140="Full year"),$AO140*$AS140,
AND(AH58&gt;=10, AH58&lt;=19, AU58&gt;=4.39,AU58&lt;=8.33,$AQ140="Full year"),$AO140*$AS141,
AND(AH58=20,AU58=4.39,$AQ140="Fall"),$AO140*$AS141,
AND(AH58&gt;=10, AH58&lt;=19, AU58&gt;=2.19,AU58&lt;=4.17,$AQ140="Fall"),$AO140*($AS141/2),
AND(AH58=20, AU58=4.39,$AQ140="Spring"),$AO140*$AS141,
AND(AH58&gt;=10, AH58&lt;=19, AU58&gt;=2.19,AU58&lt;=4.17,$AQ140="Spring"),$AO140*($AS141/2))*1.05^G$2,0)</f>
        <v>0</v>
      </c>
      <c r="AB140" s="803" cm="1">
        <f t="array" ref="AB140">_xlfn.IFNA(_xlfn.IFS(AND(AI58=20, AV58=8.77,$AQ140="Full year"),$AO140*$AS140,
AND(AI58&gt;=10, AI58&lt;=19, AV58&gt;=4.39,AV58&lt;=8.33,$AQ140="Full year"),$AO140*$AS141,
AND(AI58=20,AV58=4.39,$AQ140="Fall"),$AO140*$AS141,
AND(AI58&gt;=10, AI58&lt;=19, AV58&gt;=2.19,AV58&lt;=4.17,$AQ140="Fall"),$AO140*($AS141/2),
AND(AI58=20, AV58=4.39,$AQ140="Spring"),$AO140*$AS141,
AND(AI58&gt;=10, AI58&lt;=19, AV58&gt;=2.19,AV58&lt;=4.17,$AQ140="Spring"),$AO140*($AS141/2))*1.05^H$2,0)</f>
        <v>0</v>
      </c>
      <c r="AC140" s="803" cm="1">
        <f t="array" ref="AC140">_xlfn.IFNA(_xlfn.IFS(AND(AJ58=20, AW58=8.77,$AQ140="Full year"),$AO140*$AS140,
AND(AJ58&gt;=10, AJ58&lt;=19, AW58&gt;=4.39,AW58&lt;=8.33,$AQ140="Full year"),$AO140*$AS141,
AND(AJ58=20,AW58=4.39,$AQ140="Fall"),$AO140*$AS141,
AND(AJ58&gt;=10, AJ58&lt;=19, AW58&gt;=2.19,AW58&lt;=4.17,$AQ140="Fall"),$AO140*($AS141/2),
AND(AJ58=20, AW58=4.39,$AQ140="Spring"),$AO140*$AS141,
AND(AJ58&gt;=10, AJ58&lt;=19, AW58&gt;=2.19,AW58&lt;=4.17,$AQ140="Spring"),$AO140*($AS141/2))*1.05^I$2,0)</f>
        <v>0</v>
      </c>
      <c r="AD140" s="803" cm="1">
        <f t="array" ref="AD140">_xlfn.IFNA(_xlfn.IFS(AND(AK58=20, AX58=8.77,$AQ140="Full year"),$AO140*$AS140,
AND(AK58&gt;=10, AK58&lt;=19, AX58&gt;=4.39,AX58&lt;=8.33,$AQ140="Full year"),$AO140*$AS141,
AND(AK58=20,AX58=4.39,$AQ140="Fall"),$AO140*$AS141,
AND(AK58&gt;=10, AK58&lt;=19, AX58&gt;=2.19,AX58&lt;=4.17,$AQ140="Fall"),$AO140*($AS141/2),
AND(AK58=20, AX58=4.39,$AQ140="Spring"),$AO140*$AS141,
AND(AK58&gt;=10, AK58&lt;=19, AX58&gt;=2.19,AX58&lt;=4.17,$AQ140="Spring"),$AO140*($AS141/2))*1.05^J$2,0)</f>
        <v>0</v>
      </c>
      <c r="AE140" s="803" cm="1">
        <f t="array" ref="AE140">_xlfn.IFNA(_xlfn.IFS(AND(AL58=20, AY58=8.77,$AQ140="Full year"),$AO140*$AS140,
AND(AL58&gt;=10, AL58&lt;=19, AY58&gt;=4.39,AY58&lt;=8.33,$AQ140="Full year"),$AO140*$AS141,
AND(AL58=20,AY58=4.39,$AQ140="Fall"),$AO140*$AS141,
AND(AL58&gt;=10, AL58&lt;=19, AY58&gt;=2.19,AY58&lt;=4.17,$AQ140="Fall"),$AO140*($AS141/2),
AND(AL58=20, AY58=4.39,$AQ140="Spring"),$AO140*$AS141,
AND(AL58&gt;=10, AL58&lt;=19, AY58&gt;=2.19,AY58&lt;=4.17,$AQ140="Spring"),$AO140*($AS141/2))*1.05^K$2,0)</f>
        <v>0</v>
      </c>
      <c r="AF140" s="805">
        <f>SUM(AA140:AE141)</f>
        <v>0</v>
      </c>
      <c r="AO140" s="50">
        <f t="shared" si="97"/>
        <v>0</v>
      </c>
      <c r="AP140" s="19" t="str">
        <f t="shared" si="97"/>
        <v>GRA #1</v>
      </c>
      <c r="AQ140" s="19" t="str">
        <f t="shared" si="97"/>
        <v>Full year</v>
      </c>
      <c r="AR140" s="41" t="s">
        <v>212</v>
      </c>
      <c r="AS140" s="42">
        <f>Rates!C15</f>
        <v>12936</v>
      </c>
      <c r="AZ140" s="151"/>
    </row>
    <row r="141" spans="1:55" ht="30" hidden="1" customHeight="1" outlineLevel="1" thickTop="1" thickBot="1" x14ac:dyDescent="0.3">
      <c r="B141" s="50">
        <f t="shared" si="96"/>
        <v>0</v>
      </c>
      <c r="C141" s="159">
        <f t="shared" si="96"/>
        <v>0</v>
      </c>
      <c r="D141" s="19" t="str">
        <f t="shared" si="96"/>
        <v>Summer</v>
      </c>
      <c r="E141" s="43" t="s">
        <v>214</v>
      </c>
      <c r="F141" s="44">
        <f>Rates!C16</f>
        <v>6468</v>
      </c>
      <c r="G141" s="812"/>
      <c r="H141" s="812"/>
      <c r="I141" s="812"/>
      <c r="J141" s="812"/>
      <c r="K141" s="812"/>
      <c r="L141" s="812"/>
      <c r="M141" s="812"/>
      <c r="N141" s="812"/>
      <c r="O141" s="812"/>
      <c r="P141" s="812"/>
      <c r="Q141" s="812"/>
      <c r="R141" s="812"/>
      <c r="S141" s="812"/>
      <c r="T141" s="724"/>
      <c r="U141" s="724"/>
      <c r="V141" s="724"/>
      <c r="W141" s="724"/>
      <c r="X141" s="724"/>
      <c r="Y141" s="731"/>
      <c r="Z141" s="722"/>
      <c r="AA141" s="814"/>
      <c r="AB141" s="804"/>
      <c r="AC141" s="804"/>
      <c r="AD141" s="804"/>
      <c r="AE141" s="804"/>
      <c r="AF141" s="806"/>
      <c r="AO141" s="50">
        <f t="shared" si="97"/>
        <v>0</v>
      </c>
      <c r="AP141" s="159">
        <f t="shared" si="97"/>
        <v>0</v>
      </c>
      <c r="AQ141" s="19" t="str">
        <f t="shared" si="97"/>
        <v>Summer</v>
      </c>
      <c r="AR141" s="43" t="s">
        <v>214</v>
      </c>
      <c r="AS141" s="214">
        <f>Rates!C16</f>
        <v>6468</v>
      </c>
      <c r="AZ141" s="151"/>
    </row>
    <row r="142" spans="1:55" ht="30" hidden="1" customHeight="1" outlineLevel="1" thickTop="1" thickBot="1" x14ac:dyDescent="0.3">
      <c r="B142" s="50">
        <f t="shared" si="96"/>
        <v>0</v>
      </c>
      <c r="C142" s="19" t="str">
        <f t="shared" si="96"/>
        <v>GRA #3</v>
      </c>
      <c r="D142" s="19" t="str">
        <f t="shared" si="96"/>
        <v>Spring</v>
      </c>
      <c r="E142" s="41" t="s">
        <v>212</v>
      </c>
      <c r="F142" s="42">
        <f>Rates!C15</f>
        <v>12936</v>
      </c>
      <c r="G142" s="812"/>
      <c r="H142" s="812"/>
      <c r="I142" s="812"/>
      <c r="J142" s="812"/>
      <c r="K142" s="812"/>
      <c r="L142" s="812"/>
      <c r="M142" s="812"/>
      <c r="N142" s="812"/>
      <c r="O142" s="812"/>
      <c r="P142" s="812"/>
      <c r="Q142" s="812"/>
      <c r="R142" s="812"/>
      <c r="S142" s="812"/>
      <c r="T142" s="723" cm="1">
        <f t="array" ref="T142">ROUND(_xlfn.IFNA(_xlfn.IFS(AND(G60=20, N60=8.77,$D142="Full year"),$B142*$F142,
AND(G60&gt;=10, G60&lt;=19, N60&gt;=4.39,N60&lt;=8.33,$D142="Full year"),$B142*$F143,
AND(G60=20,N60=4.39,$D142="Fall"),$B142*$F143,
AND(G60&gt;=10, G60&lt;=19, N60&gt;=2.19,N60&lt;=4.17,$D142="Fall"),$B142*($F143/2),
AND(G60=20, N60=4.39,$D142="Spring"),$B142*$F143,
AND(G60&gt;=10, G60&lt;=19, N60&gt;=2.19,N60&lt;=4.17,$D142="Spring"),$B142*($F143/2))*1.05^G$2,0),0)</f>
        <v>0</v>
      </c>
      <c r="U142" s="723" cm="1">
        <f t="array" ref="U142">ROUND(_xlfn.IFNA(_xlfn.IFS(AND(H60=20, O60=8.77,$D142="Full year"),$B142*$F142,
AND(H60&gt;=10, H60&lt;=19, O60&gt;=4.39,O60&lt;=8.33,$D142="Full year"),$B142*$F143,
AND(H60=20,O60=4.39,$D142="Fall"),$B142*$F143,
AND(H60&gt;=10, H60&lt;=19, O60&gt;=2.19,O60&lt;=4.17,$D142="Fall"),$B142*($F143/2),
AND(H60=20, O60=4.39,$D142="Spring"),$B142*$F143,
AND(H60&gt;=10, H60&lt;=19, O60&gt;=2.19,O60&lt;=4.17,$D142="Spring"),$B142*($F143/2))*1.05^H$2,0),0)</f>
        <v>0</v>
      </c>
      <c r="V142" s="723" cm="1">
        <f t="array" ref="V142">ROUND(_xlfn.IFNA(_xlfn.IFS(AND(I60=20, P60=8.77,$D142="Full year"),$B142*$F142,
AND(I60&gt;=10, I60&lt;=19, P60&gt;=4.39,P60&lt;=8.33,$D142="Full year"),$B142*$F143,
AND(I60=20,P60=4.39,$D142="Fall"),$B142*$F143,
AND(I60&gt;=10, I60&lt;=19, P60&gt;=2.19,P60&lt;=4.17,$D142="Fall"),$B142*($F143/2),
AND(I60=20, P60=4.39,$D142="Spring"),$B142*$F143,
AND(I60&gt;=10, I60&lt;=19, P60&gt;=2.19,P60&lt;=4.17,$D142="Spring"),$B142*($F143/2))*1.05^I$2,0),0)</f>
        <v>0</v>
      </c>
      <c r="W142" s="723" cm="1">
        <f t="array" ref="W142">ROUND(_xlfn.IFNA(_xlfn.IFS(AND(J60=20, Q60=8.77,$D142="Full year"),$B142*$F142,
AND(J60&gt;=10, J60&lt;=19, Q60&gt;=4.39,Q60&lt;=8.33,$D142="Full year"),$B142*$F143,
AND(J60=20,Q60=4.39,$D142="Fall"),$B142*$F143,
AND(J60&gt;=10, J60&lt;=19, Q60&gt;=2.19,Q60&lt;=4.17,$D142="Fall"),$B142*($F143/2),
AND(J60=20, Q60=4.39,$D142="Spring"),$B142*$F143,
AND(J60&gt;=10, J60&lt;=19, Q60&gt;=2.19,Q60&lt;=4.17,$D142="Spring"),$B142*($F143/2))*1.05^J$2,0),0)</f>
        <v>0</v>
      </c>
      <c r="X142" s="723" cm="1">
        <f t="array" ref="X142">ROUND(_xlfn.IFNA(_xlfn.IFS(AND(K60=20, R60=8.77,$D142="Full year"),$B142*$F142,
AND(K60&gt;=10, K60&lt;=19, R60&gt;=4.39,R60&lt;=8.33,$D142="Full year"),$B142*$F143,
AND(K60=20,R60=4.39,$D142="Fall"),$B142*$F143,
AND(K60&gt;=10, K60&lt;=19, R60&gt;=2.19,R60&lt;=4.17,$D142="Fall"),$B142*($F143/2),
AND(K60=20, R60=4.39,$D142="Spring"),$B142*$F143,
AND(K60&gt;=10, K60&lt;=19, R60&gt;=2.19,R60&lt;=4.17,$D142="Spring"),$B142*($F143/2))*1.05^K$2,0),0)</f>
        <v>0</v>
      </c>
      <c r="Y142" s="733">
        <f>ROUND(SUM(T142:X143),0)</f>
        <v>0</v>
      </c>
      <c r="Z142" s="722">
        <f>Y142+AF142</f>
        <v>0</v>
      </c>
      <c r="AA142" s="813" cm="1">
        <f t="array" ref="AA142">_xlfn.IFNA(_xlfn.IFS(AND(AH60=20, AU60=8.77,$AQ142="Full year"),$AO142*$AS142,
AND(AH60&gt;=10, AH60&lt;=19, AU60&gt;=4.39,AU60&lt;=8.33,$AQ142="Full year"),$AO142*$AS143,
AND(AH60=20,AU60=4.39,$AQ142="Fall"),$AO142*$AS143,
AND(AH60&gt;=10, AH60&lt;=19, AU60&gt;=2.19,AU60&lt;=4.17,$AQ142="Fall"),$AO142*($AS143/2),
AND(AH60=20, AU60=4.39,$AQ142="Spring"),$AO142*$AS143,
AND(AH60&gt;=10, AH60&lt;=19, AU60&gt;=2.19,AU60&lt;=4.17,$AQ142="Spring"),$AO142*($AS143/2))*1.05^G$2,0)</f>
        <v>0</v>
      </c>
      <c r="AB142" s="803" cm="1">
        <f t="array" ref="AB142">_xlfn.IFNA(_xlfn.IFS(AND(AI60=20, AV60=8.77,$AQ142="Full year"),$AO142*$AS142,
AND(AI60&gt;=10, AI60&lt;=19, AV60&gt;=4.39,AV60&lt;=8.33,$AQ142="Full year"),$AO142*$AS143,
AND(AI60=20,AV60=4.39,$AQ142="Fall"),$AO142*$AS143,
AND(AI60&gt;=10, AI60&lt;=19, AV60&gt;=2.19,AV60&lt;=4.17,$AQ142="Fall"),$AO142*($AS143/2),
AND(AI60=20, AV60=4.39,$AQ142="Spring"),$AO142*$AS143,
AND(AI60&gt;=10, AI60&lt;=19, AV60&gt;=2.19,AV60&lt;=4.17,$AQ142="Spring"),$AO142*($AS143/2))*1.05^H$2,0)</f>
        <v>0</v>
      </c>
      <c r="AC142" s="803" cm="1">
        <f t="array" ref="AC142">_xlfn.IFNA(_xlfn.IFS(AND(AJ60=20, AW60=8.77,$AQ142="Full year"),$AO142*$AS142,
AND(AJ60&gt;=10, AJ60&lt;=19, AW60&gt;=4.39,AW60&lt;=8.33,$AQ142="Full year"),$AO142*$AS143,
AND(AJ60=20,AW60=4.39,$AQ142="Fall"),$AO142*$AS143,
AND(AJ60&gt;=10, AJ60&lt;=19, AW60&gt;=2.19,AW60&lt;=4.17,$AQ142="Fall"),$AO142*($AS143/2),
AND(AJ60=20, AW60=4.39,$AQ142="Spring"),$AO142*$AS143,
AND(AJ60&gt;=10, AJ60&lt;=19, AW60&gt;=2.19,AW60&lt;=4.17,$AQ142="Spring"),$AO142*($AS143/2))*1.05^I$2,0)</f>
        <v>0</v>
      </c>
      <c r="AD142" s="803" cm="1">
        <f t="array" ref="AD142">_xlfn.IFNA(_xlfn.IFS(AND(AK60=20, AX60=8.77,$AQ142="Full year"),$AO142*$AS142,
AND(AK60&gt;=10, AK60&lt;=19, AX60&gt;=4.39,AX60&lt;=8.33,$AQ142="Full year"),$AO142*$AS143,
AND(AK60=20,AX60=4.39,$AQ142="Fall"),$AO142*$AS143,
AND(AK60&gt;=10, AK60&lt;=19, AX60&gt;=2.19,AX60&lt;=4.17,$AQ142="Fall"),$AO142*($AS143/2),
AND(AK60=20, AX60=4.39,$AQ142="Spring"),$AO142*$AS143,
AND(AK60&gt;=10, AK60&lt;=19, AX60&gt;=2.19,AX60&lt;=4.17,$AQ142="Spring"),$AO142*($AS143/2))*1.05^J$2,0)</f>
        <v>0</v>
      </c>
      <c r="AE142" s="803" cm="1">
        <f t="array" ref="AE142">_xlfn.IFNA(_xlfn.IFS(AND(AL60=20, AY60=8.77,$AQ142="Full year"),$AO142*$AS142,
AND(AL60&gt;=10, AL60&lt;=19, AY60&gt;=4.39,AY60&lt;=8.33,$AQ142="Full year"),$AO142*$AS143,
AND(AL60=20,AY60=4.39,$AQ142="Fall"),$AO142*$AS143,
AND(AL60&gt;=10, AL60&lt;=19, AY60&gt;=2.19,AY60&lt;=4.17,$AQ142="Fall"),$AO142*($AS143/2),
AND(AL60=20, AY60=4.39,$AQ142="Spring"),$AO142*$AS143,
AND(AL60&gt;=10, AL60&lt;=19, AY60&gt;=2.19,AY60&lt;=4.17,$AQ142="Spring"),$AO142*($AS143/2))*1.05^K$2,0)</f>
        <v>0</v>
      </c>
      <c r="AF142" s="805">
        <f>SUM(AA142:AE143)</f>
        <v>0</v>
      </c>
      <c r="AO142" s="50">
        <f t="shared" si="97"/>
        <v>0</v>
      </c>
      <c r="AP142" s="19" t="str">
        <f t="shared" si="97"/>
        <v>GRA #3</v>
      </c>
      <c r="AQ142" s="19" t="str">
        <f t="shared" si="97"/>
        <v>Full year</v>
      </c>
      <c r="AR142" s="41" t="s">
        <v>212</v>
      </c>
      <c r="AS142" s="42">
        <f>Rates!C15</f>
        <v>12936</v>
      </c>
      <c r="AZ142" s="151"/>
    </row>
    <row r="143" spans="1:55" ht="30" hidden="1" customHeight="1" outlineLevel="1" thickTop="1" thickBot="1" x14ac:dyDescent="0.3">
      <c r="B143" s="50">
        <f t="shared" si="96"/>
        <v>0</v>
      </c>
      <c r="C143" s="159">
        <f t="shared" si="96"/>
        <v>0</v>
      </c>
      <c r="D143" s="19" t="str">
        <f t="shared" si="96"/>
        <v>Summer</v>
      </c>
      <c r="E143" s="43" t="s">
        <v>214</v>
      </c>
      <c r="F143" s="44">
        <f>Rates!C16</f>
        <v>6468</v>
      </c>
      <c r="G143" s="812"/>
      <c r="H143" s="812"/>
      <c r="I143" s="812"/>
      <c r="J143" s="812"/>
      <c r="K143" s="812"/>
      <c r="L143" s="812"/>
      <c r="M143" s="812"/>
      <c r="N143" s="812"/>
      <c r="O143" s="812"/>
      <c r="P143" s="812"/>
      <c r="Q143" s="812"/>
      <c r="R143" s="812"/>
      <c r="S143" s="812"/>
      <c r="T143" s="724"/>
      <c r="U143" s="724"/>
      <c r="V143" s="724"/>
      <c r="W143" s="724"/>
      <c r="X143" s="724"/>
      <c r="Y143" s="731"/>
      <c r="Z143" s="722"/>
      <c r="AA143" s="814"/>
      <c r="AB143" s="804"/>
      <c r="AC143" s="804"/>
      <c r="AD143" s="804"/>
      <c r="AE143" s="804"/>
      <c r="AF143" s="806"/>
      <c r="AO143" s="50">
        <f t="shared" si="97"/>
        <v>0</v>
      </c>
      <c r="AP143" s="159">
        <f t="shared" si="97"/>
        <v>0</v>
      </c>
      <c r="AQ143" s="19" t="str">
        <f t="shared" si="97"/>
        <v>Summer</v>
      </c>
      <c r="AR143" s="43" t="s">
        <v>214</v>
      </c>
      <c r="AS143" s="42">
        <f>Rates!C16</f>
        <v>6468</v>
      </c>
      <c r="AZ143" s="151"/>
    </row>
    <row r="144" spans="1:55" ht="30" hidden="1" customHeight="1" outlineLevel="1" thickTop="1" thickBot="1" x14ac:dyDescent="0.3">
      <c r="B144" s="50">
        <f t="shared" si="96"/>
        <v>0</v>
      </c>
      <c r="C144" s="19" t="str">
        <f t="shared" si="96"/>
        <v>GRA #4</v>
      </c>
      <c r="D144" s="19" t="str">
        <f t="shared" si="96"/>
        <v>Spring</v>
      </c>
      <c r="E144" s="41" t="s">
        <v>212</v>
      </c>
      <c r="F144" s="42">
        <f>Rates!C15</f>
        <v>12936</v>
      </c>
      <c r="G144" s="812"/>
      <c r="H144" s="812"/>
      <c r="I144" s="812"/>
      <c r="J144" s="812"/>
      <c r="K144" s="812"/>
      <c r="L144" s="812"/>
      <c r="M144" s="812"/>
      <c r="N144" s="812"/>
      <c r="O144" s="812"/>
      <c r="P144" s="812"/>
      <c r="Q144" s="812"/>
      <c r="R144" s="812"/>
      <c r="S144" s="812"/>
      <c r="T144" s="723" cm="1">
        <f t="array" ref="T144">ROUND(_xlfn.IFNA(_xlfn.IFS(AND(G62=20, N62=8.77,$D144="Full year"),$B144*$F144,
AND(G62&gt;=10, G62&lt;=19, N62&gt;=4.39,N62&lt;=8.33,$D144="Full year"),$B144*$F145,
AND(G62=20,N62=4.39,$D144="Fall"),$B144*$F145,
AND(G62&gt;=10, G62&lt;=19, N62&gt;=2.19,N62&lt;=4.17,$D144="Fall"),$B144*($F145/2),
AND(G62=20, N62=4.39,$D144="Spring"),$B144*$F145,
AND(G62&gt;=10, G62&lt;=19, N62&gt;=2.19,N62&lt;=4.17,$D144="Spring"),$B144*($F145/2))*1.05^G$2,0),0)</f>
        <v>0</v>
      </c>
      <c r="U144" s="723" cm="1">
        <f t="array" ref="U144">ROUND(_xlfn.IFNA(_xlfn.IFS(AND(H62=20, O62=8.77,$D144="Full year"),$B144*$F144,
AND(H62&gt;=10, H62&lt;=19, O62&gt;=4.39,O62&lt;=8.33,$D144="Full year"),$B144*$F145,
AND(H62=20,O62=4.39,$D144="Fall"),$B144*$F145,
AND(H62&gt;=10, H62&lt;=19, O62&gt;=2.19,O62&lt;=4.17,$D144="Fall"),$B144*($F145/2),
AND(H62=20, O62=4.39,$D144="Spring"),$B144*$F145,
AND(H62&gt;=10, H62&lt;=19, O62&gt;=2.19,O62&lt;=4.17,$D144="Spring"),$B144*($F145/2))*1.05^H$2,0),0)</f>
        <v>0</v>
      </c>
      <c r="V144" s="723" cm="1">
        <f t="array" ref="V144">ROUND(_xlfn.IFNA(_xlfn.IFS(AND(I62=20, P62=8.77,$D144="Full year"),$B144*$F144,
AND(I62&gt;=10, I62&lt;=19, P62&gt;=4.39,P62&lt;=8.33,$D144="Full year"),$B144*$F145,
AND(I62=20,P62=4.39,$D144="Fall"),$B144*$F145,
AND(I62&gt;=10, I62&lt;=19, P62&gt;=2.19,P62&lt;=4.17,$D144="Fall"),$B144*($F145/2),
AND(I62=20, P62=4.39,$D144="Spring"),$B144*$F145,
AND(I62&gt;=10, I62&lt;=19, P62&gt;=2.19,P62&lt;=4.17,$D144="Spring"),$B144*($F145/2))*1.05^I$2,0),0)</f>
        <v>0</v>
      </c>
      <c r="W144" s="723" cm="1">
        <f t="array" ref="W144">ROUND(_xlfn.IFNA(_xlfn.IFS(AND(J62=20, Q62=8.77,$D144="Full year"),$B144*$F144,
AND(J62&gt;=10, J62&lt;=19, Q62&gt;=4.39,Q62&lt;=8.33,$D144="Full year"),$B144*$F145,
AND(J62=20,Q62=4.39,$D144="Fall"),$B144*$F145,
AND(J62&gt;=10, J62&lt;=19, Q62&gt;=2.19,Q62&lt;=4.17,$D144="Fall"),$B144*($F145/2),
AND(J62=20, Q62=4.39,$D144="Spring"),$B144*$F145,
AND(J62&gt;=10, J62&lt;=19, Q62&gt;=2.19,Q62&lt;=4.17,$D144="Spring"),$B144*($F145/2))*1.05^J$2,0),0)</f>
        <v>0</v>
      </c>
      <c r="X144" s="723" cm="1">
        <f t="array" ref="X144">ROUND(_xlfn.IFNA(_xlfn.IFS(AND(K62=20, R62=8.77,$D144="Full year"),$B144*$F144,
AND(K62&gt;=10, K62&lt;=19, R62&gt;=4.39,R62&lt;=8.33,$D144="Full year"),$B144*$F145,
AND(K62=20,R62=4.39,$D144="Fall"),$B144*$F145,
AND(K62&gt;=10, K62&lt;=19, R62&gt;=2.19,R62&lt;=4.17,$D144="Fall"),$B144*($F145/2),
AND(K62=20, R62=4.39,$D144="Spring"),$B144*$F145,
AND(K62&gt;=10, K62&lt;=19, R62&gt;=2.19,R62&lt;=4.17,$D144="Spring"),$B144*($F145/2))*1.05^K$2,0),0)</f>
        <v>0</v>
      </c>
      <c r="Y144" s="733">
        <f>ROUND(SUM(T144:X145),0)</f>
        <v>0</v>
      </c>
      <c r="Z144" s="722">
        <f>Y144+AF144</f>
        <v>0</v>
      </c>
      <c r="AA144" s="813" cm="1">
        <f t="array" ref="AA144">_xlfn.IFNA(_xlfn.IFS(AND(AH62=20, AU62=8.77,$AQ144="Full year"),$AO144*$AS144,
AND(AH62&gt;=10, AH62&lt;=19, AU62&gt;=4.39,AU62&lt;=8.33,$AQ144="Full year"),$AO144*$AS145,
AND(AH62=20,AU62=4.39,$AQ144="Fall"),$AO144*$AS145,
AND(AH62&gt;=10, AH62&lt;=19, AU62&gt;=2.19,AU62&lt;=4.17,$AQ144="Fall"),$AO144*($AS145/2),
AND(AH62=20, AU62=4.39,$AQ144="Spring"),$AO144*$AS145,
AND(AH62&gt;=10, AH62&lt;=19, AU62&gt;=2.19,AU62&lt;=4.17,$AQ144="Spring"),$AO144*($AS145/2))*1.05^G$2,0)</f>
        <v>0</v>
      </c>
      <c r="AB144" s="803" cm="1">
        <f t="array" ref="AB144">_xlfn.IFNA(_xlfn.IFS(AND(AI62=20, AV62=8.77,$AQ144="Full year"),$AO144*$AS144,
AND(AI62&gt;=10, AI62&lt;=19, AV62&gt;=4.39,AV62&lt;=8.33,$AQ144="Full year"),$AO144*$AS145,
AND(AI62=20,AV62=4.39,$AQ144="Fall"),$AO144*$AS145,
AND(AI62&gt;=10, AI62&lt;=19, AV62&gt;=2.19,AV62&lt;=4.17,$AQ144="Fall"),$AO144*($AS145/2),
AND(AI62=20, AV62=4.39,$AQ144="Spring"),$AO144*$AS145,
AND(AI62&gt;=10, AI62&lt;=19, AV62&gt;=2.19,AV62&lt;=4.17,$AQ144="Spring"),$AO144*($AS145/2))*1.05^H$2,0)</f>
        <v>0</v>
      </c>
      <c r="AC144" s="803" cm="1">
        <f t="array" ref="AC144">_xlfn.IFNA(_xlfn.IFS(AND(AJ62=20, AW62=8.77,$AQ144="Full year"),$AO144*$AS144,
AND(AJ62&gt;=10, AJ62&lt;=19, AW62&gt;=4.39,AW62&lt;=8.33,$AQ144="Full year"),$AO144*$AS145,
AND(AJ62=20,AW62=4.39,$AQ144="Fall"),$AO144*$AS145,
AND(AJ62&gt;=10, AJ62&lt;=19, AW62&gt;=2.19,AW62&lt;=4.17,$AQ144="Fall"),$AO144*($AS145/2),
AND(AJ62=20, AW62=4.39,$AQ144="Spring"),$AO144*$AS145,
AND(AJ62&gt;=10, AJ62&lt;=19, AW62&gt;=2.19,AW62&lt;=4.17,$AQ144="Spring"),$AO144*($AS145/2))*1.05^I$2,0)</f>
        <v>0</v>
      </c>
      <c r="AD144" s="803" cm="1">
        <f t="array" ref="AD144">_xlfn.IFNA(_xlfn.IFS(AND(AK62=20, AX62=8.77,$AQ144="Full year"),$AO144*$AS144,
AND(AK62&gt;=10, AK62&lt;=19, AX62&gt;=4.39,AX62&lt;=8.33,$AQ144="Full year"),$AO144*$AS145,
AND(AK62=20,AX62=4.39,$AQ144="Fall"),$AO144*$AS145,
AND(AK62&gt;=10, AK62&lt;=19, AX62&gt;=2.19,AX62&lt;=4.17,$AQ144="Fall"),$AO144*($AS145/2),
AND(AK62=20, AX62=4.39,$AQ144="Spring"),$AO144*$AS145,
AND(AK62&gt;=10, AK62&lt;=19, AX62&gt;=2.19,AX62&lt;=4.17,$AQ144="Spring"),$AO144*($AS145/2))*1.05^J$2,0)</f>
        <v>0</v>
      </c>
      <c r="AE144" s="803" cm="1">
        <f t="array" ref="AE144">_xlfn.IFNA(_xlfn.IFS(AND(AL62=20, AY62=8.77,$AQ144="Full year"),$AO144*$AS144,
AND(AL62&gt;=10, AL62&lt;=19, AY62&gt;=4.39,AY62&lt;=8.33,$AQ144="Full year"),$AO144*$AS145,
AND(AL62=20,AY62=4.39,$AQ144="Fall"),$AO144*$AS145,
AND(AL62&gt;=10, AL62&lt;=19, AY62&gt;=2.19,AY62&lt;=4.17,$AQ144="Fall"),$AO144*($AS145/2),
AND(AL62=20, AY62=4.39,$AQ144="Spring"),$AO144*$AS145,
AND(AL62&gt;=10, AL62&lt;=19, AY62&gt;=2.19,AY62&lt;=4.17,$AQ144="Spring"),$AO144*($AS145/2))*1.05^K$2,0)</f>
        <v>0</v>
      </c>
      <c r="AF144" s="805">
        <f>SUM(AA144:AE145)</f>
        <v>0</v>
      </c>
      <c r="AO144" s="50">
        <f t="shared" si="97"/>
        <v>0</v>
      </c>
      <c r="AP144" s="19" t="str">
        <f t="shared" si="97"/>
        <v>GRA #4</v>
      </c>
      <c r="AQ144" s="19" t="str">
        <f t="shared" si="97"/>
        <v>Full year</v>
      </c>
      <c r="AR144" s="41" t="s">
        <v>212</v>
      </c>
      <c r="AS144" s="215">
        <f>Rates!C15</f>
        <v>12936</v>
      </c>
      <c r="AZ144" s="151"/>
    </row>
    <row r="145" spans="2:52" ht="30" hidden="1" customHeight="1" outlineLevel="1" thickTop="1" thickBot="1" x14ac:dyDescent="0.3">
      <c r="B145" s="50">
        <f t="shared" si="96"/>
        <v>0</v>
      </c>
      <c r="C145" s="159">
        <f t="shared" si="96"/>
        <v>0</v>
      </c>
      <c r="D145" s="19" t="str">
        <f t="shared" si="96"/>
        <v>Summer</v>
      </c>
      <c r="E145" s="43" t="s">
        <v>213</v>
      </c>
      <c r="F145" s="44">
        <f>Rates!C16</f>
        <v>6468</v>
      </c>
      <c r="G145" s="812"/>
      <c r="H145" s="812"/>
      <c r="I145" s="812"/>
      <c r="J145" s="812"/>
      <c r="K145" s="812"/>
      <c r="L145" s="812"/>
      <c r="M145" s="812"/>
      <c r="N145" s="812"/>
      <c r="O145" s="812"/>
      <c r="P145" s="812"/>
      <c r="Q145" s="812"/>
      <c r="R145" s="812"/>
      <c r="S145" s="812"/>
      <c r="T145" s="724"/>
      <c r="U145" s="724"/>
      <c r="V145" s="724"/>
      <c r="W145" s="724"/>
      <c r="X145" s="724"/>
      <c r="Y145" s="731"/>
      <c r="Z145" s="722"/>
      <c r="AA145" s="814"/>
      <c r="AB145" s="804"/>
      <c r="AC145" s="804"/>
      <c r="AD145" s="804"/>
      <c r="AE145" s="804"/>
      <c r="AF145" s="806"/>
      <c r="AO145" s="50">
        <f t="shared" si="97"/>
        <v>0</v>
      </c>
      <c r="AP145" s="159">
        <f t="shared" si="97"/>
        <v>0</v>
      </c>
      <c r="AQ145" s="19" t="str">
        <f t="shared" si="97"/>
        <v>Summer</v>
      </c>
      <c r="AR145" s="43" t="s">
        <v>213</v>
      </c>
      <c r="AS145" s="42">
        <f>Rates!C16</f>
        <v>6468</v>
      </c>
      <c r="AZ145" s="151"/>
    </row>
    <row r="146" spans="2:52" ht="30" hidden="1" customHeight="1" outlineLevel="1" thickTop="1" thickBot="1" x14ac:dyDescent="0.3">
      <c r="B146" s="50">
        <f t="shared" si="96"/>
        <v>0</v>
      </c>
      <c r="C146" s="19" t="str">
        <f t="shared" si="96"/>
        <v>GRA #5</v>
      </c>
      <c r="D146" s="19" t="str">
        <f t="shared" si="96"/>
        <v>Spring</v>
      </c>
      <c r="E146" s="41" t="s">
        <v>212</v>
      </c>
      <c r="F146" s="42">
        <f>Rates!C15</f>
        <v>12936</v>
      </c>
      <c r="G146" s="812"/>
      <c r="H146" s="812"/>
      <c r="I146" s="812"/>
      <c r="J146" s="812"/>
      <c r="K146" s="812"/>
      <c r="L146" s="812"/>
      <c r="M146" s="812"/>
      <c r="N146" s="812"/>
      <c r="O146" s="812"/>
      <c r="P146" s="812"/>
      <c r="Q146" s="812"/>
      <c r="R146" s="812"/>
      <c r="S146" s="812"/>
      <c r="T146" s="723" cm="1">
        <f t="array" ref="T146">ROUND(_xlfn.IFNA(_xlfn.IFS(AND(G64=20, N64=8.77,$D146="Full year"),$B146*$F146,
AND(G64&gt;=10, G64&lt;=19, N64&gt;=4.39,N64&lt;=8.33,$D146="Full year"),$B146*$F147,
AND(G64=20,N64=4.39,$D146="Fall"),$B146*$F147,
AND(G64&gt;=10, G64&lt;=19, N64&gt;=2.19,N64&lt;=4.17,$D146="Fall"),$B146*($F147/2),
AND(G64=20, N64=4.39,$D146="Spring"),$B146*$F147,
AND(G64&gt;=10, G64&lt;=19, N64&gt;=2.19,N64&lt;=4.17,$D146="Spring"),$B146*($F147/2))*1.05^G$2,0),0)</f>
        <v>0</v>
      </c>
      <c r="U146" s="723" cm="1">
        <f t="array" ref="U146">ROUND(_xlfn.IFNA(_xlfn.IFS(AND(H64=20, O64=8.77,$D146="Full year"),$B146*$F146,
AND(H64&gt;=10, H64&lt;=19, O64&gt;=4.39,O64&lt;=8.33,$D146="Full year"),$B146*$F147,
AND(H64=20,O64=4.39,$D146="Fall"),$B146*$F147,
AND(H64&gt;=10, H64&lt;=19, O64&gt;=2.19,O64&lt;=4.17,$D146="Fall"),$B146*($F147/2),
AND(H64=20, O64=4.39,$D146="Spring"),$B146*$F147,
AND(H64&gt;=10, H64&lt;=19, O64&gt;=2.19,O64&lt;=4.17,$D146="Spring"),$B146*($F147/2))*1.05^H$2,0),0)</f>
        <v>0</v>
      </c>
      <c r="V146" s="723" cm="1">
        <f t="array" ref="V146">ROUND(_xlfn.IFNA(_xlfn.IFS(AND(I64=20, P64=8.77,$D146="Full year"),$B146*$F146,
AND(I64&gt;=10, I64&lt;=19, P64&gt;=4.39,P64&lt;=8.33,$D146="Full year"),$B146*$F147,
AND(I64=20,P64=4.39,$D146="Fall"),$B146*$F147,
AND(I64&gt;=10, I64&lt;=19, P64&gt;=2.19,P64&lt;=4.17,$D146="Fall"),$B146*($F147/2),
AND(I64=20, P64=4.39,$D146="Spring"),$B146*$F147,
AND(I64&gt;=10, I64&lt;=19, P64&gt;=2.19,P64&lt;=4.17,$D146="Spring"),$B146*($F147/2))*1.05^I$2,0),0)</f>
        <v>0</v>
      </c>
      <c r="W146" s="723" cm="1">
        <f t="array" ref="W146">ROUND(_xlfn.IFNA(_xlfn.IFS(AND(J64=20, Q64=8.77,$D146="Full year"),$B146*$F146,
AND(J64&gt;=10, J64&lt;=19, Q64&gt;=4.39,Q64&lt;=8.33,$D146="Full year"),$B146*$F147,
AND(J64=20,Q64=4.39,$D146="Fall"),$B146*$F147,
AND(J64&gt;=10, J64&lt;=19, Q64&gt;=2.19,Q64&lt;=4.17,$D146="Fall"),$B146*($F147/2),
AND(J64=20, Q64=4.39,$D146="Spring"),$B146*$F147,
AND(J64&gt;=10, J64&lt;=19, Q64&gt;=2.19,Q64&lt;=4.17,$D146="Spring"),$B146*($F147/2))*1.05^J$2,0),0)</f>
        <v>0</v>
      </c>
      <c r="X146" s="723" cm="1">
        <f t="array" ref="X146">ROUND(_xlfn.IFNA(_xlfn.IFS(AND(K64=20, R64=8.77,$D146="Full year"),$B146*$F146,
AND(K64&gt;=10, K64&lt;=19, R64&gt;=4.39,R64&lt;=8.33,$D146="Full year"),$B146*$F147,
AND(K64=20,R64=4.39,$D146="Fall"),$B146*$F147,
AND(K64&gt;=10, K64&lt;=19, R64&gt;=2.19,R64&lt;=4.17,$D146="Fall"),$B146*($F147/2),
AND(K64=20, R64=4.39,$D146="Spring"),$B146*$F147,
AND(K64&gt;=10, K64&lt;=19, R64&gt;=2.19,R64&lt;=4.17,$D146="Spring"),$B146*($F147/2))*1.05^K$2,0),0)</f>
        <v>0</v>
      </c>
      <c r="Y146" s="733">
        <f>ROUND(SUM(T146:X147),0)</f>
        <v>0</v>
      </c>
      <c r="Z146" s="722">
        <f>Y146+AF146</f>
        <v>0</v>
      </c>
      <c r="AA146" s="813" cm="1">
        <f t="array" ref="AA146">_xlfn.IFNA(_xlfn.IFS(AND(AH64=20, AU64=8.77,$AQ146="Full year"),$AO146*$AS146,
AND(AH64&gt;=10, AH64&lt;=19, AU64&gt;=4.39,AU64&lt;=8.33,$AQ146="Full year"),$AO146*$AS147,
AND(AH64=20,AU64=4.39,$AQ146="Fall"),$AO146*$AS147,
AND(AH64&gt;=10, AH64&lt;=19, AU64&gt;=2.19,AU64&lt;=4.17,$AQ146="Fall"),$AO146*($AS147/2),
AND(AH64=20, AU64=4.39,$AQ146="Spring"),$AO146*$AS147,
AND(AH64&gt;=10, AH64&lt;=19, AU64&gt;=2.19,AU64&lt;=4.17,$AQ146="Spring"),$AO146*($AS147/2))*1.05^G$2,0)</f>
        <v>0</v>
      </c>
      <c r="AB146" s="803" cm="1">
        <f t="array" ref="AB146">_xlfn.IFNA(_xlfn.IFS(AND(AI64=20, AV64=8.77,$AQ146="Full year"),$AO146*$AS146,
AND(AI64&gt;=10, AI64&lt;=19, AV64&gt;=4.39,AV64&lt;=8.33,$AQ146="Full year"),$AO146*$AS147,
AND(AI64=20,AV64=4.39,$AQ146="Fall"),$AO146*$AS147,
AND(AI64&gt;=10, AI64&lt;=19, AV64&gt;=2.19,AV64&lt;=4.17,$AQ146="Fall"),$AO146*($AS147/2),
AND(AI64=20, AV64=4.39,$AQ146="Spring"),$AO146*$AS147,
AND(AI64&gt;=10, AI64&lt;=19, AV64&gt;=2.19,AV64&lt;=4.17,$AQ146="Spring"),$AO146*($AS147/2))*1.05^H$2,0)</f>
        <v>0</v>
      </c>
      <c r="AC146" s="803" cm="1">
        <f t="array" ref="AC146">_xlfn.IFNA(_xlfn.IFS(AND(AJ64=20, AW64=8.77,$AQ146="Full year"),$AO146*$AS146,
AND(AJ64&gt;=10, AJ64&lt;=19, AW64&gt;=4.39,AW64&lt;=8.33,$AQ146="Full year"),$AO146*$AS147,
AND(AJ64=20,AW64=4.39,$AQ146="Fall"),$AO146*$AS147,
AND(AJ64&gt;=10, AJ64&lt;=19, AW64&gt;=2.19,AW64&lt;=4.17,$AQ146="Fall"),$AO146*($AS147/2),
AND(AJ64=20, AW64=4.39,$AQ146="Spring"),$AO146*$AS147,
AND(AJ64&gt;=10, AJ64&lt;=19, AW64&gt;=2.19,AW64&lt;=4.17,$AQ146="Spring"),$AO146*($AS147/2))*1.05^I$2,0)</f>
        <v>0</v>
      </c>
      <c r="AD146" s="803" cm="1">
        <f t="array" ref="AD146">_xlfn.IFNA(_xlfn.IFS(AND(AK64=20, AX64=8.77,$AQ146="Full year"),$AO146*$AS146,
AND(AK64&gt;=10, AK64&lt;=19, AX64&gt;=4.39,AX64&lt;=8.33,$AQ146="Full year"),$AO146*$AS147,
AND(AK64=20,AX64=4.39,$AQ146="Fall"),$AO146*$AS147,
AND(AK64&gt;=10, AK64&lt;=19, AX64&gt;=2.19,AX64&lt;=4.17,$AQ146="Fall"),$AO146*($AS147/2),
AND(AK64=20, AX64=4.39,$AQ146="Spring"),$AO146*$AS147,
AND(AK64&gt;=10, AK64&lt;=19, AX64&gt;=2.19,AX64&lt;=4.17,$AQ146="Spring"),$AO146*($AS147/2))*1.05^J$2,0)</f>
        <v>0</v>
      </c>
      <c r="AE146" s="803" cm="1">
        <f t="array" ref="AE146">_xlfn.IFNA(_xlfn.IFS(AND(AL64=20, AY64=8.77,$AQ146="Full year"),$AO146*$AS146,
AND(AL64&gt;=10, AL64&lt;=19, AY64&gt;=4.39,AY64&lt;=8.33,$AQ146="Full year"),$AO146*$AS147,
AND(AL64=20,AY64=4.39,$AQ146="Fall"),$AO146*$AS147,
AND(AL64&gt;=10, AL64&lt;=19, AY64&gt;=2.19,AY64&lt;=4.17,$AQ146="Fall"),$AO146*($AS147/2),
AND(AL64=20, AY64=4.39,$AQ146="Spring"),$AO146*$AS147,
AND(AL64&gt;=10, AL64&lt;=19, AY64&gt;=2.19,AY64&lt;=4.17,$AQ146="Spring"),$AO146*($AS147/2))*1.05^K$2,0)</f>
        <v>0</v>
      </c>
      <c r="AF146" s="805">
        <f>SUM(AA146:AE147)</f>
        <v>0</v>
      </c>
      <c r="AO146" s="50">
        <f t="shared" si="97"/>
        <v>0</v>
      </c>
      <c r="AP146" s="19" t="str">
        <f t="shared" si="97"/>
        <v>GRA #5</v>
      </c>
      <c r="AQ146" s="19" t="str">
        <f t="shared" si="97"/>
        <v>Full year</v>
      </c>
      <c r="AR146" s="41" t="s">
        <v>212</v>
      </c>
      <c r="AS146" s="215">
        <f>Rates!C15</f>
        <v>12936</v>
      </c>
      <c r="AZ146" s="151"/>
    </row>
    <row r="147" spans="2:52" ht="30" hidden="1" customHeight="1" outlineLevel="1" thickTop="1" thickBot="1" x14ac:dyDescent="0.3">
      <c r="B147" s="50">
        <f t="shared" si="96"/>
        <v>0</v>
      </c>
      <c r="C147" s="159">
        <f t="shared" si="96"/>
        <v>0</v>
      </c>
      <c r="D147" s="19" t="str">
        <f t="shared" si="96"/>
        <v>Summer</v>
      </c>
      <c r="E147" s="45" t="s">
        <v>214</v>
      </c>
      <c r="F147" s="46">
        <f>Rates!C16</f>
        <v>6468</v>
      </c>
      <c r="G147" s="812"/>
      <c r="H147" s="812"/>
      <c r="I147" s="812"/>
      <c r="J147" s="812"/>
      <c r="K147" s="812"/>
      <c r="L147" s="812"/>
      <c r="M147" s="812"/>
      <c r="N147" s="812"/>
      <c r="O147" s="812"/>
      <c r="P147" s="812"/>
      <c r="Q147" s="812"/>
      <c r="R147" s="812"/>
      <c r="S147" s="812"/>
      <c r="T147" s="724"/>
      <c r="U147" s="724"/>
      <c r="V147" s="724"/>
      <c r="W147" s="724"/>
      <c r="X147" s="724"/>
      <c r="Y147" s="731"/>
      <c r="Z147" s="722"/>
      <c r="AA147" s="814"/>
      <c r="AB147" s="804"/>
      <c r="AC147" s="804"/>
      <c r="AD147" s="804"/>
      <c r="AE147" s="804"/>
      <c r="AF147" s="806"/>
      <c r="AO147" s="50">
        <f t="shared" si="97"/>
        <v>0</v>
      </c>
      <c r="AP147" s="159">
        <f t="shared" si="97"/>
        <v>0</v>
      </c>
      <c r="AQ147" s="19" t="str">
        <f t="shared" si="97"/>
        <v>Summer</v>
      </c>
      <c r="AR147" s="43" t="s">
        <v>214</v>
      </c>
      <c r="AS147" s="214">
        <f>Rates!C16</f>
        <v>6468</v>
      </c>
      <c r="AZ147" s="151"/>
    </row>
    <row r="148" spans="2:52" ht="33.75" customHeight="1" collapsed="1" thickTop="1" x14ac:dyDescent="0.25">
      <c r="B148" s="720" t="s">
        <v>215</v>
      </c>
      <c r="C148" s="720"/>
      <c r="D148" s="720"/>
      <c r="E148" s="720"/>
      <c r="F148" s="720"/>
      <c r="G148" s="720"/>
      <c r="H148" s="720"/>
      <c r="I148" s="720"/>
      <c r="J148" s="720"/>
      <c r="K148" s="720"/>
      <c r="L148" s="720"/>
      <c r="M148" s="720"/>
      <c r="N148" s="720"/>
      <c r="O148" s="720"/>
      <c r="P148" s="720"/>
      <c r="Q148" s="356"/>
      <c r="R148" s="356"/>
      <c r="S148" s="356"/>
      <c r="T148" s="437">
        <f>ROUND(SUM(T138:T147),)</f>
        <v>0</v>
      </c>
      <c r="U148" s="437">
        <f t="shared" ref="U148:Y148" si="98">ROUND(SUM(U138:U147),)</f>
        <v>0</v>
      </c>
      <c r="V148" s="437">
        <f t="shared" si="98"/>
        <v>0</v>
      </c>
      <c r="W148" s="437">
        <f t="shared" si="98"/>
        <v>0</v>
      </c>
      <c r="X148" s="437">
        <f t="shared" si="98"/>
        <v>0</v>
      </c>
      <c r="Y148" s="437">
        <f t="shared" si="98"/>
        <v>0</v>
      </c>
      <c r="Z148" s="561">
        <f>TuitionTotal+AF148</f>
        <v>0</v>
      </c>
      <c r="AA148" s="446">
        <f>SUM(AA138:AA147)</f>
        <v>0</v>
      </c>
      <c r="AB148" s="446">
        <f>SUM(AB138:AB147)</f>
        <v>0</v>
      </c>
      <c r="AC148" s="446">
        <f>SUM(AC138:AC147)</f>
        <v>0</v>
      </c>
      <c r="AD148" s="447">
        <f t="shared" ref="AD148:AE148" si="99">SUM(AD138:AD147)</f>
        <v>0</v>
      </c>
      <c r="AE148" s="446">
        <f t="shared" si="99"/>
        <v>0</v>
      </c>
      <c r="AF148" s="446">
        <f>SUM(AF138:AF147)</f>
        <v>0</v>
      </c>
      <c r="AG148" s="405"/>
      <c r="AH148" s="702" t="s">
        <v>216</v>
      </c>
      <c r="AI148" s="702"/>
      <c r="AJ148" s="702"/>
      <c r="AK148" s="702"/>
      <c r="AL148" s="702"/>
      <c r="AM148" s="702"/>
      <c r="AN148" s="702"/>
      <c r="AO148" s="702"/>
      <c r="AP148" s="702"/>
      <c r="AQ148" s="702"/>
      <c r="AR148" s="702"/>
      <c r="AS148" s="702"/>
      <c r="AT148" s="702"/>
      <c r="AU148" s="702"/>
      <c r="AV148" s="702"/>
      <c r="AW148" s="702"/>
      <c r="AX148" s="702"/>
      <c r="AY148" s="702"/>
      <c r="AZ148" s="703"/>
    </row>
    <row r="149" spans="2:52" ht="41.25" customHeight="1" thickBot="1" x14ac:dyDescent="0.3">
      <c r="B149" s="732" t="s">
        <v>217</v>
      </c>
      <c r="C149" s="732"/>
      <c r="D149" s="732"/>
      <c r="E149" s="732"/>
      <c r="F149" s="732"/>
      <c r="G149" s="732"/>
      <c r="H149" s="732"/>
      <c r="I149" s="732"/>
      <c r="J149" s="732"/>
      <c r="K149" s="732"/>
      <c r="L149" s="732"/>
      <c r="M149" s="732"/>
      <c r="N149" s="732"/>
      <c r="O149" s="732"/>
      <c r="P149" s="732"/>
      <c r="Q149" s="354"/>
      <c r="R149" s="354"/>
      <c r="S149" s="357"/>
      <c r="T149" s="369">
        <f>ROUND(SUM(OtherPersonnelBenefits1,GRABenefits1,Tuition1),0)</f>
        <v>0</v>
      </c>
      <c r="U149" s="369">
        <f>ROUND(SUM(OtherPersonnelBenefits2,GRABenefits2,Tuition2),0)</f>
        <v>0</v>
      </c>
      <c r="V149" s="358">
        <f>ROUND(SUM(OtherPersonnelBenefits3,GRABenefits3,Tuition3),0)</f>
        <v>0</v>
      </c>
      <c r="W149" s="358">
        <f>ROUND(SUM(OtherPersonnelBenefits4,GRABenefits4,Tuition4),0)</f>
        <v>0</v>
      </c>
      <c r="X149" s="369">
        <f>ROUND(SUM(OtherPersonnelBenefits5,GRABenefits5,Tuition5),0)</f>
        <v>0</v>
      </c>
      <c r="Y149" s="369">
        <f>ROUND(SUM(OtherPersonnelBenefitsToT,GRABenefitsToT,TuitionTotal),0)</f>
        <v>0</v>
      </c>
      <c r="Z149" s="561">
        <f>Y149+AF149</f>
        <v>0</v>
      </c>
      <c r="AA149" s="448">
        <f>cs.Oth.Fringe1 + cs.GRABenefits1 + cs.GRA.Tuition1</f>
        <v>0</v>
      </c>
      <c r="AB149" s="448">
        <f>cs.Oth.Fringe2 + cs.GRABenefits2 + cs.GRA.Tuition2</f>
        <v>0</v>
      </c>
      <c r="AC149" s="448">
        <f>cs.Oth.Fringe3 + cs.GRABenefits3 + cs.GRA.Tuition3</f>
        <v>0</v>
      </c>
      <c r="AD149" s="448">
        <f>cs.Oth.Fringe4 + cs.GRABenefits4 + cs.GRA.Tuition4</f>
        <v>0</v>
      </c>
      <c r="AE149" s="448">
        <f>cs.Oth.Fringe5 + cs.GRABenefits5 + cs.GRA.Tuition5</f>
        <v>0</v>
      </c>
      <c r="AF149" s="448">
        <f>cs.Oth.FringeTot + cs.GRABenefitsToT + cs.GRA.TutionTot</f>
        <v>0</v>
      </c>
      <c r="AG149" s="404"/>
      <c r="AH149" s="704" t="s">
        <v>218</v>
      </c>
      <c r="AI149" s="704"/>
      <c r="AJ149" s="704"/>
      <c r="AK149" s="704"/>
      <c r="AL149" s="704"/>
      <c r="AM149" s="704"/>
      <c r="AN149" s="704"/>
      <c r="AO149" s="704"/>
      <c r="AP149" s="704"/>
      <c r="AQ149" s="704"/>
      <c r="AR149" s="704"/>
      <c r="AS149" s="704"/>
      <c r="AT149" s="704"/>
      <c r="AU149" s="704"/>
      <c r="AV149" s="704"/>
      <c r="AW149" s="704"/>
      <c r="AX149" s="704"/>
      <c r="AY149" s="704"/>
      <c r="AZ149" s="705"/>
    </row>
    <row r="150" spans="2:52" ht="57" customHeight="1" thickBot="1" x14ac:dyDescent="0.35">
      <c r="B150" s="721" t="s">
        <v>219</v>
      </c>
      <c r="C150" s="721"/>
      <c r="D150" s="721"/>
      <c r="E150" s="721"/>
      <c r="F150" s="721"/>
      <c r="G150" s="721"/>
      <c r="H150" s="721"/>
      <c r="I150" s="721"/>
      <c r="J150" s="721"/>
      <c r="K150" s="721"/>
      <c r="L150" s="721"/>
      <c r="M150" s="721"/>
      <c r="N150" s="721"/>
      <c r="O150" s="721"/>
      <c r="P150" s="721"/>
      <c r="Q150" s="721"/>
      <c r="R150" s="721"/>
      <c r="S150" s="721"/>
      <c r="T150" s="721"/>
      <c r="U150" s="721"/>
      <c r="V150" s="721"/>
      <c r="W150" s="721"/>
      <c r="X150" s="721"/>
      <c r="Y150" s="721"/>
      <c r="Z150" s="560"/>
      <c r="AA150" s="652" t="s">
        <v>219</v>
      </c>
      <c r="AB150" s="652"/>
      <c r="AC150" s="652"/>
      <c r="AD150" s="652"/>
      <c r="AE150" s="652"/>
      <c r="AF150" s="652"/>
      <c r="AG150" s="652"/>
      <c r="AH150" s="652"/>
      <c r="AI150" s="652"/>
      <c r="AJ150" s="652"/>
      <c r="AK150" s="652"/>
      <c r="AL150" s="652"/>
      <c r="AM150" s="652"/>
      <c r="AN150" s="652"/>
      <c r="AO150" s="652"/>
      <c r="AP150" s="652"/>
      <c r="AQ150" s="652"/>
      <c r="AR150" s="652"/>
      <c r="AS150" s="652"/>
      <c r="AT150" s="652"/>
      <c r="AU150" s="652"/>
      <c r="AV150" s="652"/>
      <c r="AW150" s="652"/>
      <c r="AX150" s="652"/>
      <c r="AY150" s="652"/>
      <c r="AZ150" s="652"/>
    </row>
    <row r="151" spans="2:52" ht="27.75" customHeight="1" thickTop="1" x14ac:dyDescent="0.25">
      <c r="B151" s="728" t="s">
        <v>220</v>
      </c>
      <c r="C151" s="728"/>
      <c r="D151" s="728" t="s">
        <v>221</v>
      </c>
      <c r="E151" s="728"/>
      <c r="F151" s="728"/>
      <c r="G151" s="728"/>
      <c r="H151" s="728"/>
      <c r="I151" s="323"/>
      <c r="J151" s="324"/>
      <c r="K151" s="324"/>
      <c r="L151" s="787" t="s">
        <v>222</v>
      </c>
      <c r="M151" s="787"/>
      <c r="N151" s="787"/>
      <c r="O151" s="787"/>
      <c r="P151" s="787"/>
      <c r="Q151" s="787"/>
      <c r="R151" s="787"/>
      <c r="S151" s="787"/>
      <c r="T151" s="52" t="s">
        <v>128</v>
      </c>
      <c r="U151" s="52" t="s">
        <v>129</v>
      </c>
      <c r="V151" s="52" t="s">
        <v>130</v>
      </c>
      <c r="W151" s="52" t="s">
        <v>131</v>
      </c>
      <c r="X151" s="52" t="s">
        <v>132</v>
      </c>
      <c r="Y151" s="372" t="s">
        <v>112</v>
      </c>
      <c r="Z151" s="561"/>
      <c r="AA151" s="55" t="s">
        <v>128</v>
      </c>
      <c r="AB151" s="55" t="s">
        <v>129</v>
      </c>
      <c r="AC151" s="55" t="s">
        <v>130</v>
      </c>
      <c r="AD151" s="55" t="s">
        <v>131</v>
      </c>
      <c r="AE151" s="380" t="s">
        <v>132</v>
      </c>
      <c r="AF151" s="386" t="s">
        <v>133</v>
      </c>
      <c r="AG151" s="381"/>
      <c r="AH151" s="6" t="s">
        <v>223</v>
      </c>
      <c r="AI151" s="6"/>
      <c r="AJ151" s="6"/>
      <c r="AK151" s="6"/>
      <c r="AL151" s="6"/>
      <c r="AM151" s="6"/>
      <c r="AN151" s="6"/>
      <c r="AO151" s="6"/>
      <c r="AP151" s="6"/>
      <c r="AQ151" s="6"/>
      <c r="AR151" s="6"/>
      <c r="AS151" s="6"/>
      <c r="AT151" s="6"/>
      <c r="AU151" s="6"/>
      <c r="AV151" s="6"/>
      <c r="AW151" s="6"/>
      <c r="AX151" s="6"/>
      <c r="AY151" s="6"/>
      <c r="AZ151" s="151"/>
    </row>
    <row r="152" spans="2:52" ht="30" customHeight="1" x14ac:dyDescent="0.25">
      <c r="B152" s="780"/>
      <c r="C152" s="780"/>
      <c r="D152" s="725"/>
      <c r="E152" s="726"/>
      <c r="F152" s="726"/>
      <c r="G152" s="726"/>
      <c r="H152" s="726"/>
      <c r="I152" s="726"/>
      <c r="J152" s="726"/>
      <c r="K152" s="727"/>
      <c r="L152" s="735"/>
      <c r="M152" s="735"/>
      <c r="N152" s="735"/>
      <c r="O152" s="735"/>
      <c r="P152" s="735"/>
      <c r="Q152" s="735"/>
      <c r="R152" s="735"/>
      <c r="S152" s="735"/>
      <c r="T152" s="276"/>
      <c r="U152" s="276"/>
      <c r="V152" s="276"/>
      <c r="W152" s="276"/>
      <c r="X152" s="276"/>
      <c r="Y152" s="69">
        <f t="shared" ref="Y152:Y156" si="100">SUM(T152:X152)</f>
        <v>0</v>
      </c>
      <c r="Z152" s="561">
        <f t="shared" ref="Z152:Z157" si="101">Y152+AF152</f>
        <v>0</v>
      </c>
      <c r="AA152" s="581"/>
      <c r="AB152" s="276"/>
      <c r="AC152" s="276"/>
      <c r="AD152" s="276"/>
      <c r="AE152" s="276"/>
      <c r="AF152" s="248">
        <f t="shared" ref="AF152:AF157" si="102">SUM(AA152:AE152)</f>
        <v>0</v>
      </c>
      <c r="AH152" s="699"/>
      <c r="AI152" s="700"/>
      <c r="AJ152" s="700"/>
      <c r="AK152" s="700"/>
      <c r="AL152" s="700"/>
      <c r="AM152" s="700"/>
      <c r="AN152" s="700"/>
      <c r="AO152" s="700"/>
      <c r="AP152" s="700"/>
      <c r="AQ152" s="700"/>
      <c r="AR152" s="700"/>
      <c r="AS152" s="701"/>
      <c r="AT152" s="202"/>
      <c r="AU152" s="202"/>
      <c r="AV152" s="202"/>
      <c r="AW152" s="202"/>
      <c r="AX152" s="202"/>
      <c r="AY152" s="202"/>
      <c r="AZ152" s="151"/>
    </row>
    <row r="153" spans="2:52" ht="30" hidden="1" customHeight="1" outlineLevel="1" x14ac:dyDescent="0.25">
      <c r="B153" s="780"/>
      <c r="C153" s="780"/>
      <c r="D153" s="745"/>
      <c r="E153" s="746"/>
      <c r="F153" s="746"/>
      <c r="G153" s="746"/>
      <c r="H153" s="746"/>
      <c r="I153" s="746"/>
      <c r="J153" s="746"/>
      <c r="K153" s="747"/>
      <c r="L153" s="735"/>
      <c r="M153" s="735"/>
      <c r="N153" s="735"/>
      <c r="O153" s="735"/>
      <c r="P153" s="735"/>
      <c r="Q153" s="735"/>
      <c r="R153" s="735"/>
      <c r="S153" s="735"/>
      <c r="T153" s="276"/>
      <c r="U153" s="276"/>
      <c r="V153" s="276"/>
      <c r="W153" s="276"/>
      <c r="X153" s="276"/>
      <c r="Y153" s="69">
        <f t="shared" si="100"/>
        <v>0</v>
      </c>
      <c r="Z153" s="561">
        <f t="shared" si="101"/>
        <v>0</v>
      </c>
      <c r="AA153" s="581"/>
      <c r="AB153" s="276"/>
      <c r="AC153" s="276"/>
      <c r="AD153" s="276"/>
      <c r="AE153" s="276"/>
      <c r="AF153" s="248">
        <f t="shared" si="102"/>
        <v>0</v>
      </c>
      <c r="AH153" s="699"/>
      <c r="AI153" s="700"/>
      <c r="AJ153" s="700"/>
      <c r="AK153" s="700"/>
      <c r="AL153" s="700"/>
      <c r="AM153" s="700"/>
      <c r="AN153" s="700"/>
      <c r="AO153" s="700"/>
      <c r="AP153" s="700"/>
      <c r="AQ153" s="700"/>
      <c r="AR153" s="700"/>
      <c r="AS153" s="701"/>
      <c r="AT153" s="202"/>
      <c r="AU153" s="202"/>
      <c r="AV153" s="202"/>
      <c r="AW153" s="22"/>
      <c r="AX153" s="22"/>
      <c r="AY153" s="22"/>
      <c r="AZ153" s="151"/>
    </row>
    <row r="154" spans="2:52" ht="30" hidden="1" customHeight="1" outlineLevel="1" x14ac:dyDescent="0.25">
      <c r="B154" s="780"/>
      <c r="C154" s="780"/>
      <c r="D154" s="725"/>
      <c r="E154" s="726"/>
      <c r="F154" s="726"/>
      <c r="G154" s="726"/>
      <c r="H154" s="726"/>
      <c r="I154" s="726"/>
      <c r="J154" s="726"/>
      <c r="K154" s="727"/>
      <c r="L154" s="735"/>
      <c r="M154" s="735"/>
      <c r="N154" s="735"/>
      <c r="O154" s="735"/>
      <c r="P154" s="735"/>
      <c r="Q154" s="735"/>
      <c r="R154" s="735"/>
      <c r="S154" s="735"/>
      <c r="T154" s="276"/>
      <c r="U154" s="276"/>
      <c r="V154" s="276"/>
      <c r="W154" s="276"/>
      <c r="X154" s="276"/>
      <c r="Y154" s="69">
        <f t="shared" si="100"/>
        <v>0</v>
      </c>
      <c r="Z154" s="561">
        <f t="shared" si="101"/>
        <v>0</v>
      </c>
      <c r="AA154" s="581"/>
      <c r="AB154" s="276"/>
      <c r="AC154" s="276"/>
      <c r="AD154" s="276"/>
      <c r="AE154" s="276"/>
      <c r="AF154" s="248">
        <f t="shared" si="102"/>
        <v>0</v>
      </c>
      <c r="AH154" s="699"/>
      <c r="AI154" s="700"/>
      <c r="AJ154" s="700"/>
      <c r="AK154" s="700"/>
      <c r="AL154" s="700"/>
      <c r="AM154" s="700"/>
      <c r="AN154" s="700"/>
      <c r="AO154" s="700"/>
      <c r="AP154" s="700"/>
      <c r="AQ154" s="700"/>
      <c r="AR154" s="700"/>
      <c r="AS154" s="701"/>
      <c r="AT154" s="202"/>
      <c r="AU154" s="202"/>
      <c r="AV154" s="202"/>
      <c r="AW154" s="202"/>
      <c r="AX154" s="202"/>
      <c r="AY154" s="202"/>
      <c r="AZ154" s="151"/>
    </row>
    <row r="155" spans="2:52" ht="30" hidden="1" customHeight="1" outlineLevel="1" x14ac:dyDescent="0.25">
      <c r="B155" s="780"/>
      <c r="C155" s="780"/>
      <c r="D155" s="725"/>
      <c r="E155" s="726"/>
      <c r="F155" s="726"/>
      <c r="G155" s="726"/>
      <c r="H155" s="726"/>
      <c r="I155" s="726"/>
      <c r="J155" s="726"/>
      <c r="K155" s="727"/>
      <c r="L155" s="735"/>
      <c r="M155" s="735"/>
      <c r="N155" s="735"/>
      <c r="O155" s="735"/>
      <c r="P155" s="735"/>
      <c r="Q155" s="735"/>
      <c r="R155" s="735"/>
      <c r="S155" s="735"/>
      <c r="T155" s="276"/>
      <c r="U155" s="276"/>
      <c r="V155" s="276"/>
      <c r="W155" s="276"/>
      <c r="X155" s="276"/>
      <c r="Y155" s="69">
        <f t="shared" si="100"/>
        <v>0</v>
      </c>
      <c r="Z155" s="561">
        <f t="shared" si="101"/>
        <v>0</v>
      </c>
      <c r="AA155" s="581"/>
      <c r="AB155" s="276"/>
      <c r="AC155" s="276"/>
      <c r="AD155" s="276"/>
      <c r="AE155" s="276"/>
      <c r="AF155" s="248">
        <f t="shared" si="102"/>
        <v>0</v>
      </c>
      <c r="AH155" s="699"/>
      <c r="AI155" s="700"/>
      <c r="AJ155" s="700"/>
      <c r="AK155" s="700"/>
      <c r="AL155" s="700"/>
      <c r="AM155" s="700"/>
      <c r="AN155" s="700"/>
      <c r="AO155" s="700"/>
      <c r="AP155" s="700"/>
      <c r="AQ155" s="700"/>
      <c r="AR155" s="700"/>
      <c r="AS155" s="701"/>
      <c r="AT155" s="202"/>
      <c r="AU155" s="202"/>
      <c r="AV155" s="202"/>
      <c r="AW155" s="202"/>
      <c r="AX155" s="202"/>
      <c r="AY155" s="202"/>
      <c r="AZ155" s="151"/>
    </row>
    <row r="156" spans="2:52" ht="30" hidden="1" customHeight="1" outlineLevel="1" x14ac:dyDescent="0.25">
      <c r="B156" s="780"/>
      <c r="C156" s="780"/>
      <c r="D156" s="725"/>
      <c r="E156" s="726"/>
      <c r="F156" s="726"/>
      <c r="G156" s="726"/>
      <c r="H156" s="726"/>
      <c r="I156" s="726"/>
      <c r="J156" s="726"/>
      <c r="K156" s="727"/>
      <c r="L156" s="735"/>
      <c r="M156" s="735"/>
      <c r="N156" s="735"/>
      <c r="O156" s="735"/>
      <c r="P156" s="735"/>
      <c r="Q156" s="735"/>
      <c r="R156" s="735"/>
      <c r="S156" s="735"/>
      <c r="T156" s="276"/>
      <c r="U156" s="276"/>
      <c r="V156" s="276"/>
      <c r="W156" s="276"/>
      <c r="X156" s="276"/>
      <c r="Y156" s="69">
        <f t="shared" si="100"/>
        <v>0</v>
      </c>
      <c r="Z156" s="561">
        <f t="shared" si="101"/>
        <v>0</v>
      </c>
      <c r="AA156" s="581"/>
      <c r="AB156" s="276"/>
      <c r="AC156" s="276"/>
      <c r="AD156" s="276"/>
      <c r="AE156" s="276"/>
      <c r="AF156" s="248">
        <f t="shared" si="102"/>
        <v>0</v>
      </c>
      <c r="AH156" s="699"/>
      <c r="AI156" s="700"/>
      <c r="AJ156" s="700"/>
      <c r="AK156" s="700"/>
      <c r="AL156" s="700"/>
      <c r="AM156" s="700"/>
      <c r="AN156" s="700"/>
      <c r="AO156" s="700"/>
      <c r="AP156" s="700"/>
      <c r="AQ156" s="700"/>
      <c r="AR156" s="700"/>
      <c r="AS156" s="701"/>
      <c r="AT156" s="202"/>
      <c r="AU156" s="202"/>
      <c r="AV156" s="202"/>
      <c r="AW156" s="202"/>
      <c r="AX156" s="202"/>
      <c r="AY156" s="202"/>
      <c r="AZ156" s="151"/>
    </row>
    <row r="157" spans="2:52" ht="40.5" customHeight="1" collapsed="1" thickBot="1" x14ac:dyDescent="0.3">
      <c r="B157" s="732" t="s">
        <v>224</v>
      </c>
      <c r="C157" s="732"/>
      <c r="D157" s="732"/>
      <c r="E157" s="732"/>
      <c r="F157" s="732"/>
      <c r="G157" s="732"/>
      <c r="H157" s="732"/>
      <c r="I157" s="732"/>
      <c r="J157" s="354"/>
      <c r="K157" s="354"/>
      <c r="L157" s="354"/>
      <c r="M157" s="354"/>
      <c r="N157" s="354"/>
      <c r="O157" s="354"/>
      <c r="P157" s="354"/>
      <c r="Q157" s="354"/>
      <c r="R157" s="354"/>
      <c r="S157" s="354"/>
      <c r="T157" s="359">
        <f>SUM(T152:T156)</f>
        <v>0</v>
      </c>
      <c r="U157" s="359">
        <f>SUM(U152:U156)</f>
        <v>0</v>
      </c>
      <c r="V157" s="360">
        <f>SUM(V152:V155)</f>
        <v>0</v>
      </c>
      <c r="W157" s="360">
        <f>SUM(W152:W155)</f>
        <v>0</v>
      </c>
      <c r="X157" s="360">
        <f>SUM(X152:X155)</f>
        <v>0</v>
      </c>
      <c r="Y157" s="371">
        <f>SUM(Y152:Y156)</f>
        <v>0</v>
      </c>
      <c r="Z157" s="561">
        <f t="shared" si="101"/>
        <v>0</v>
      </c>
      <c r="AA157" s="578">
        <f>SUM(AA152:AA156)</f>
        <v>0</v>
      </c>
      <c r="AB157" s="449">
        <f>SUM(AB152:AB156)</f>
        <v>0</v>
      </c>
      <c r="AC157" s="449">
        <f>SUM(AC152:AC156)</f>
        <v>0</v>
      </c>
      <c r="AD157" s="449">
        <f t="shared" ref="AD157:AE157" si="103">SUM(AD152:AD156)</f>
        <v>0</v>
      </c>
      <c r="AE157" s="449">
        <f t="shared" si="103"/>
        <v>0</v>
      </c>
      <c r="AF157" s="450">
        <f t="shared" si="102"/>
        <v>0</v>
      </c>
      <c r="AG157" s="404"/>
      <c r="AH157" s="704" t="s">
        <v>224</v>
      </c>
      <c r="AI157" s="704"/>
      <c r="AJ157" s="704"/>
      <c r="AK157" s="704"/>
      <c r="AL157" s="704"/>
      <c r="AM157" s="704"/>
      <c r="AN157" s="704"/>
      <c r="AO157" s="704"/>
      <c r="AP157" s="704"/>
      <c r="AQ157" s="704"/>
      <c r="AR157" s="704"/>
      <c r="AS157" s="704"/>
      <c r="AT157" s="704"/>
      <c r="AU157" s="704"/>
      <c r="AV157" s="704"/>
      <c r="AW157" s="704"/>
      <c r="AX157" s="704"/>
      <c r="AY157" s="704"/>
      <c r="AZ157" s="705"/>
    </row>
    <row r="158" spans="2:52" ht="52.5" customHeight="1" thickBot="1" x14ac:dyDescent="0.35">
      <c r="B158" s="721" t="s">
        <v>225</v>
      </c>
      <c r="C158" s="721"/>
      <c r="D158" s="721"/>
      <c r="E158" s="721"/>
      <c r="F158" s="721"/>
      <c r="G158" s="721"/>
      <c r="H158" s="721"/>
      <c r="I158" s="721"/>
      <c r="J158" s="721"/>
      <c r="K158" s="721"/>
      <c r="L158" s="721"/>
      <c r="M158" s="721"/>
      <c r="N158" s="721"/>
      <c r="O158" s="721"/>
      <c r="P158" s="721"/>
      <c r="Q158" s="721"/>
      <c r="R158" s="721"/>
      <c r="S158" s="721"/>
      <c r="T158" s="721"/>
      <c r="U158" s="721"/>
      <c r="V158" s="721"/>
      <c r="W158" s="721"/>
      <c r="X158" s="721"/>
      <c r="Y158" s="721"/>
      <c r="Z158" s="560"/>
      <c r="AA158" s="652" t="s">
        <v>225</v>
      </c>
      <c r="AB158" s="652"/>
      <c r="AC158" s="652"/>
      <c r="AD158" s="652"/>
      <c r="AE158" s="652"/>
      <c r="AF158" s="652"/>
      <c r="AG158" s="652"/>
      <c r="AH158" s="652"/>
      <c r="AI158" s="652"/>
      <c r="AJ158" s="652"/>
      <c r="AK158" s="652"/>
      <c r="AL158" s="652"/>
      <c r="AM158" s="652"/>
      <c r="AN158" s="652"/>
      <c r="AO158" s="652"/>
      <c r="AP158" s="652"/>
      <c r="AQ158" s="652"/>
      <c r="AR158" s="652"/>
      <c r="AS158" s="652"/>
      <c r="AT158" s="652"/>
      <c r="AU158" s="652"/>
      <c r="AV158" s="652"/>
      <c r="AW158" s="652"/>
      <c r="AX158" s="652"/>
      <c r="AY158" s="652"/>
      <c r="AZ158" s="652"/>
    </row>
    <row r="159" spans="2:52" ht="27.75" thickTop="1" x14ac:dyDescent="0.25">
      <c r="B159" s="765" t="s">
        <v>226</v>
      </c>
      <c r="C159" s="765"/>
      <c r="D159" s="737" t="s">
        <v>221</v>
      </c>
      <c r="E159" s="738"/>
      <c r="F159" s="738"/>
      <c r="G159" s="738"/>
      <c r="H159" s="738"/>
      <c r="I159" s="738"/>
      <c r="J159" s="738"/>
      <c r="K159" s="738"/>
      <c r="L159" s="738"/>
      <c r="M159" s="738"/>
      <c r="N159" s="738"/>
      <c r="O159" s="738"/>
      <c r="P159" s="738"/>
      <c r="Q159" s="221"/>
      <c r="R159" s="221"/>
      <c r="S159" s="738"/>
      <c r="T159" s="373" t="s">
        <v>128</v>
      </c>
      <c r="U159" s="374" t="s">
        <v>129</v>
      </c>
      <c r="V159" s="374" t="s">
        <v>130</v>
      </c>
      <c r="W159" s="374" t="s">
        <v>131</v>
      </c>
      <c r="X159" s="374" t="s">
        <v>132</v>
      </c>
      <c r="Y159" s="375" t="s">
        <v>112</v>
      </c>
      <c r="Z159" s="561"/>
      <c r="AA159" s="383" t="s">
        <v>128</v>
      </c>
      <c r="AB159" s="384" t="s">
        <v>129</v>
      </c>
      <c r="AC159" s="384" t="s">
        <v>130</v>
      </c>
      <c r="AD159" s="384" t="s">
        <v>131</v>
      </c>
      <c r="AE159" s="384" t="s">
        <v>132</v>
      </c>
      <c r="AF159" s="378" t="s">
        <v>133</v>
      </c>
      <c r="AG159" s="385"/>
      <c r="AH159" s="185" t="s">
        <v>226</v>
      </c>
      <c r="AI159" s="186"/>
      <c r="AJ159" s="688"/>
      <c r="AK159" s="689"/>
      <c r="AL159" s="689"/>
      <c r="AM159" s="689"/>
      <c r="AN159" s="689"/>
      <c r="AO159" s="689"/>
      <c r="AP159" s="689"/>
      <c r="AQ159" s="689"/>
      <c r="AR159" s="689"/>
      <c r="AS159" s="690"/>
      <c r="AV159" s="22"/>
      <c r="AW159" s="22"/>
      <c r="AX159" s="22"/>
      <c r="AY159" s="22"/>
      <c r="AZ159" s="203"/>
    </row>
    <row r="160" spans="2:52" ht="25.5" customHeight="1" x14ac:dyDescent="0.25">
      <c r="B160" s="748" t="s">
        <v>227</v>
      </c>
      <c r="C160" s="748"/>
      <c r="D160" s="756"/>
      <c r="E160" s="757"/>
      <c r="F160" s="757"/>
      <c r="G160" s="757"/>
      <c r="H160" s="757"/>
      <c r="I160" s="757"/>
      <c r="J160" s="757"/>
      <c r="K160" s="758"/>
      <c r="L160" s="216"/>
      <c r="M160" s="216"/>
      <c r="N160" s="216"/>
      <c r="O160" s="216"/>
      <c r="P160" s="216"/>
      <c r="Q160" s="216"/>
      <c r="R160" s="216"/>
      <c r="S160" s="750"/>
      <c r="T160" s="278"/>
      <c r="U160" s="277"/>
      <c r="V160" s="277"/>
      <c r="W160" s="277"/>
      <c r="X160" s="277"/>
      <c r="Y160" s="772">
        <f>SUM(T160:T162,U160:U162,V160:V162,W160:W162,X160:X162)</f>
        <v>0</v>
      </c>
      <c r="Z160" s="719">
        <f>DomesticTravelTOT+AF160</f>
        <v>0</v>
      </c>
      <c r="AA160" s="587"/>
      <c r="AB160" s="276"/>
      <c r="AC160" s="276"/>
      <c r="AD160" s="276"/>
      <c r="AE160" s="276"/>
      <c r="AF160" s="810">
        <f>SUM(AA160:AA162,AB160:AB162,AC160:AC162,AD160:AD162,AE160:AE162)</f>
        <v>0</v>
      </c>
      <c r="AG160" s="218"/>
      <c r="AH160" s="180" t="s">
        <v>227</v>
      </c>
      <c r="AI160" s="181"/>
      <c r="AJ160" s="679"/>
      <c r="AK160" s="680"/>
      <c r="AL160" s="680"/>
      <c r="AM160" s="680"/>
      <c r="AN160" s="680"/>
      <c r="AO160" s="680"/>
      <c r="AP160" s="680"/>
      <c r="AQ160" s="680"/>
      <c r="AR160" s="680"/>
      <c r="AS160" s="681"/>
      <c r="AT160" s="24"/>
      <c r="AU160" s="24"/>
      <c r="AV160" s="24"/>
      <c r="AW160" s="24"/>
      <c r="AX160" s="24"/>
      <c r="AY160" s="24"/>
      <c r="AZ160" s="151"/>
    </row>
    <row r="161" spans="2:53" ht="25.5" customHeight="1" x14ac:dyDescent="0.25">
      <c r="B161" s="748"/>
      <c r="C161" s="748"/>
      <c r="D161" s="756"/>
      <c r="E161" s="757"/>
      <c r="F161" s="757"/>
      <c r="G161" s="757"/>
      <c r="H161" s="757"/>
      <c r="I161" s="757"/>
      <c r="J161" s="757"/>
      <c r="K161" s="758"/>
      <c r="L161" s="216"/>
      <c r="M161" s="216"/>
      <c r="N161" s="216"/>
      <c r="O161" s="216"/>
      <c r="P161" s="216"/>
      <c r="Q161" s="216"/>
      <c r="R161" s="216"/>
      <c r="S161" s="750"/>
      <c r="T161" s="278"/>
      <c r="U161" s="277"/>
      <c r="V161" s="277"/>
      <c r="W161" s="277"/>
      <c r="X161" s="277"/>
      <c r="Y161" s="772"/>
      <c r="Z161" s="719"/>
      <c r="AA161" s="584"/>
      <c r="AB161" s="276"/>
      <c r="AC161" s="276"/>
      <c r="AD161" s="276"/>
      <c r="AE161" s="276"/>
      <c r="AF161" s="808"/>
      <c r="AG161" s="218"/>
      <c r="AH161" s="142"/>
      <c r="AI161" s="183"/>
      <c r="AJ161" s="679"/>
      <c r="AK161" s="680"/>
      <c r="AL161" s="680"/>
      <c r="AM161" s="680"/>
      <c r="AN161" s="680"/>
      <c r="AO161" s="680"/>
      <c r="AP161" s="680"/>
      <c r="AQ161" s="680"/>
      <c r="AR161" s="680"/>
      <c r="AS161" s="681"/>
      <c r="AT161" s="24"/>
      <c r="AU161" s="24"/>
      <c r="AV161" s="24"/>
      <c r="AW161" s="24"/>
      <c r="AX161" s="24"/>
      <c r="AY161" s="24"/>
      <c r="AZ161" s="151"/>
    </row>
    <row r="162" spans="2:53" ht="25.5" customHeight="1" thickBot="1" x14ac:dyDescent="0.3">
      <c r="B162" s="749"/>
      <c r="C162" s="749"/>
      <c r="D162" s="759"/>
      <c r="E162" s="760"/>
      <c r="F162" s="760"/>
      <c r="G162" s="760"/>
      <c r="H162" s="760"/>
      <c r="I162" s="760"/>
      <c r="J162" s="760"/>
      <c r="K162" s="761"/>
      <c r="L162" s="216"/>
      <c r="M162" s="216"/>
      <c r="N162" s="216"/>
      <c r="O162" s="216"/>
      <c r="P162" s="216"/>
      <c r="Q162" s="216"/>
      <c r="R162" s="216"/>
      <c r="S162" s="750"/>
      <c r="T162" s="279"/>
      <c r="U162" s="280"/>
      <c r="V162" s="280"/>
      <c r="W162" s="280"/>
      <c r="X162" s="320"/>
      <c r="Y162" s="773"/>
      <c r="Z162" s="719"/>
      <c r="AA162" s="588"/>
      <c r="AB162" s="286"/>
      <c r="AC162" s="286"/>
      <c r="AD162" s="286"/>
      <c r="AE162" s="286"/>
      <c r="AF162" s="808"/>
      <c r="AG162" s="218"/>
      <c r="AH162" s="217"/>
      <c r="AI162" s="184"/>
      <c r="AJ162" s="685"/>
      <c r="AK162" s="686"/>
      <c r="AL162" s="686"/>
      <c r="AM162" s="686"/>
      <c r="AN162" s="686"/>
      <c r="AO162" s="686"/>
      <c r="AP162" s="686"/>
      <c r="AQ162" s="686"/>
      <c r="AR162" s="686"/>
      <c r="AS162" s="687"/>
      <c r="AT162" s="24"/>
      <c r="AU162" s="24"/>
      <c r="AV162" s="24"/>
      <c r="AW162" s="24"/>
      <c r="AX162" s="24"/>
      <c r="AY162" s="24"/>
      <c r="AZ162" s="151"/>
    </row>
    <row r="163" spans="2:53" ht="25.5" customHeight="1" x14ac:dyDescent="0.25">
      <c r="B163" s="783" t="s">
        <v>228</v>
      </c>
      <c r="C163" s="783"/>
      <c r="D163" s="762"/>
      <c r="E163" s="763"/>
      <c r="F163" s="763"/>
      <c r="G163" s="763"/>
      <c r="H163" s="763"/>
      <c r="I163" s="763"/>
      <c r="J163" s="763"/>
      <c r="K163" s="764"/>
      <c r="L163" s="216"/>
      <c r="M163" s="216"/>
      <c r="N163" s="216"/>
      <c r="O163" s="216"/>
      <c r="P163" s="216"/>
      <c r="Q163" s="216"/>
      <c r="R163" s="216"/>
      <c r="S163" s="751"/>
      <c r="T163" s="281"/>
      <c r="U163" s="282"/>
      <c r="V163" s="282"/>
      <c r="W163" s="277"/>
      <c r="X163" s="321"/>
      <c r="Y163" s="774">
        <f>SUM(T163:T165,U163:U165,V163:V165,W163:W165,X163:X165,)</f>
        <v>0</v>
      </c>
      <c r="Z163" s="719">
        <f>InternatTravelTOT+AF163</f>
        <v>0</v>
      </c>
      <c r="AA163" s="586"/>
      <c r="AB163" s="287"/>
      <c r="AC163" s="287"/>
      <c r="AD163" s="276"/>
      <c r="AE163" s="341"/>
      <c r="AF163" s="807">
        <f>SUM(AA163:AA165,AB163:AB165,AC163:AC165,AD163:AD165,AE163:AE165)</f>
        <v>0</v>
      </c>
      <c r="AG163" s="218"/>
      <c r="AH163" s="24" t="s">
        <v>228</v>
      </c>
      <c r="AI163" s="182"/>
      <c r="AJ163" s="682"/>
      <c r="AK163" s="683"/>
      <c r="AL163" s="683"/>
      <c r="AM163" s="683"/>
      <c r="AN163" s="683"/>
      <c r="AO163" s="683"/>
      <c r="AP163" s="683"/>
      <c r="AQ163" s="683"/>
      <c r="AR163" s="683"/>
      <c r="AS163" s="684"/>
      <c r="AT163" s="24"/>
      <c r="AU163" s="24"/>
      <c r="AV163" s="24"/>
      <c r="AW163" s="24"/>
      <c r="AX163" s="24"/>
      <c r="AY163" s="24"/>
      <c r="AZ163" s="151"/>
    </row>
    <row r="164" spans="2:53" ht="25.5" customHeight="1" x14ac:dyDescent="0.25">
      <c r="B164" s="748"/>
      <c r="C164" s="748"/>
      <c r="D164" s="756"/>
      <c r="E164" s="757"/>
      <c r="F164" s="757"/>
      <c r="G164" s="757"/>
      <c r="H164" s="757"/>
      <c r="I164" s="757"/>
      <c r="J164" s="757"/>
      <c r="K164" s="758"/>
      <c r="L164" s="216"/>
      <c r="M164" s="216"/>
      <c r="N164" s="216"/>
      <c r="O164" s="216"/>
      <c r="P164" s="216"/>
      <c r="Q164" s="216"/>
      <c r="R164" s="216"/>
      <c r="S164" s="751"/>
      <c r="T164" s="278"/>
      <c r="U164" s="277"/>
      <c r="V164" s="277"/>
      <c r="W164" s="277"/>
      <c r="X164" s="277"/>
      <c r="Y164" s="772"/>
      <c r="Z164" s="719"/>
      <c r="AA164" s="584"/>
      <c r="AB164" s="276"/>
      <c r="AC164" s="276"/>
      <c r="AD164" s="276"/>
      <c r="AE164" s="276"/>
      <c r="AF164" s="808"/>
      <c r="AG164" s="218"/>
      <c r="AH164" s="142"/>
      <c r="AI164" s="183"/>
      <c r="AJ164" s="679"/>
      <c r="AK164" s="680"/>
      <c r="AL164" s="680"/>
      <c r="AM164" s="680"/>
      <c r="AN164" s="680"/>
      <c r="AO164" s="680"/>
      <c r="AP164" s="680"/>
      <c r="AQ164" s="680"/>
      <c r="AR164" s="680"/>
      <c r="AS164" s="681"/>
      <c r="AT164" s="24"/>
      <c r="AU164" s="24"/>
      <c r="AV164" s="24"/>
      <c r="AW164" s="24"/>
      <c r="AX164" s="24"/>
      <c r="AY164" s="24"/>
      <c r="AZ164" s="151"/>
    </row>
    <row r="165" spans="2:53" ht="25.5" customHeight="1" x14ac:dyDescent="0.25">
      <c r="B165" s="748"/>
      <c r="C165" s="748"/>
      <c r="D165" s="756"/>
      <c r="E165" s="757"/>
      <c r="F165" s="757"/>
      <c r="G165" s="757"/>
      <c r="H165" s="757"/>
      <c r="I165" s="757"/>
      <c r="J165" s="757"/>
      <c r="K165" s="758"/>
      <c r="L165" s="216"/>
      <c r="M165" s="216"/>
      <c r="N165" s="216"/>
      <c r="O165" s="216"/>
      <c r="P165" s="216"/>
      <c r="Q165" s="216"/>
      <c r="R165" s="216"/>
      <c r="S165" s="751"/>
      <c r="T165" s="278"/>
      <c r="U165" s="277"/>
      <c r="V165" s="277"/>
      <c r="W165" s="277"/>
      <c r="X165" s="277"/>
      <c r="Y165" s="772"/>
      <c r="Z165" s="719"/>
      <c r="AA165" s="584"/>
      <c r="AB165" s="276"/>
      <c r="AC165" s="276"/>
      <c r="AD165" s="276"/>
      <c r="AE165" s="276"/>
      <c r="AF165" s="809"/>
      <c r="AG165" s="218"/>
      <c r="AI165" s="8"/>
      <c r="AJ165" s="676"/>
      <c r="AK165" s="677"/>
      <c r="AL165" s="677"/>
      <c r="AM165" s="677"/>
      <c r="AN165" s="677"/>
      <c r="AO165" s="677"/>
      <c r="AP165" s="677"/>
      <c r="AQ165" s="677"/>
      <c r="AR165" s="677"/>
      <c r="AS165" s="678"/>
      <c r="AT165" s="24"/>
      <c r="AU165" s="24"/>
      <c r="AV165" s="24"/>
      <c r="AW165" s="24"/>
      <c r="AX165" s="24"/>
      <c r="AY165" s="24"/>
      <c r="AZ165" s="151"/>
    </row>
    <row r="166" spans="2:53" ht="39.75" customHeight="1" thickBot="1" x14ac:dyDescent="0.3">
      <c r="B166" s="732" t="s">
        <v>229</v>
      </c>
      <c r="C166" s="732"/>
      <c r="D166" s="732"/>
      <c r="E166" s="732"/>
      <c r="F166" s="732"/>
      <c r="G166" s="732"/>
      <c r="H166" s="732"/>
      <c r="I166" s="732"/>
      <c r="J166" s="354"/>
      <c r="K166" s="354"/>
      <c r="L166" s="354"/>
      <c r="M166" s="354"/>
      <c r="N166" s="354"/>
      <c r="O166" s="354"/>
      <c r="P166" s="354"/>
      <c r="Q166" s="354"/>
      <c r="R166" s="354"/>
      <c r="S166" s="354"/>
      <c r="T166" s="361">
        <f>SUM(T160:T162,T163:T165)</f>
        <v>0</v>
      </c>
      <c r="U166" s="361">
        <f>SUM(U160:U162,U163:U165)</f>
        <v>0</v>
      </c>
      <c r="V166" s="362">
        <f>SUM(V160:V162,V163:V165)</f>
        <v>0</v>
      </c>
      <c r="W166" s="362">
        <f>SUM(W160:W162,W163:W165)</f>
        <v>0</v>
      </c>
      <c r="X166" s="362">
        <f>SUM(X160:X162,X163:X165)</f>
        <v>0</v>
      </c>
      <c r="Y166" s="576">
        <f>SUM(DomesticTravelTOT,InternatTravelTOT)</f>
        <v>0</v>
      </c>
      <c r="Z166" s="561">
        <f>TravelTOT+AF166</f>
        <v>0</v>
      </c>
      <c r="AA166" s="578">
        <f>SUM(AA160:AA165)</f>
        <v>0</v>
      </c>
      <c r="AB166" s="449">
        <f>SUM(AB160:AB165)</f>
        <v>0</v>
      </c>
      <c r="AC166" s="449">
        <f>SUM(AC160:AC165)</f>
        <v>0</v>
      </c>
      <c r="AD166" s="449">
        <f>SUM(AD160:AD165)</f>
        <v>0</v>
      </c>
      <c r="AE166" s="449">
        <f>SUM(AE160:AE165)</f>
        <v>0</v>
      </c>
      <c r="AF166" s="450">
        <f>SUM(AA166:AE166)</f>
        <v>0</v>
      </c>
      <c r="AG166" s="404"/>
      <c r="AH166" s="704" t="s">
        <v>229</v>
      </c>
      <c r="AI166" s="704"/>
      <c r="AJ166" s="704"/>
      <c r="AK166" s="704"/>
      <c r="AL166" s="704"/>
      <c r="AM166" s="704"/>
      <c r="AN166" s="704"/>
      <c r="AO166" s="704"/>
      <c r="AP166" s="704"/>
      <c r="AQ166" s="704"/>
      <c r="AR166" s="704"/>
      <c r="AS166" s="704"/>
      <c r="AT166" s="704"/>
      <c r="AU166" s="704"/>
      <c r="AV166" s="704"/>
      <c r="AW166" s="704"/>
      <c r="AX166" s="704"/>
      <c r="AY166" s="704"/>
      <c r="AZ166" s="705"/>
      <c r="BA166" s="28"/>
    </row>
    <row r="167" spans="2:53" ht="52.5" customHeight="1" thickBot="1" x14ac:dyDescent="0.35">
      <c r="B167" s="721" t="s">
        <v>230</v>
      </c>
      <c r="C167" s="721"/>
      <c r="D167" s="721"/>
      <c r="E167" s="721"/>
      <c r="F167" s="721"/>
      <c r="G167" s="721"/>
      <c r="H167" s="721"/>
      <c r="I167" s="721"/>
      <c r="J167" s="721"/>
      <c r="K167" s="721"/>
      <c r="L167" s="721"/>
      <c r="M167" s="721"/>
      <c r="N167" s="721"/>
      <c r="O167" s="721"/>
      <c r="P167" s="721"/>
      <c r="Q167" s="721"/>
      <c r="R167" s="721"/>
      <c r="S167" s="721"/>
      <c r="T167" s="721"/>
      <c r="U167" s="721"/>
      <c r="V167" s="721"/>
      <c r="W167" s="721"/>
      <c r="X167" s="721"/>
      <c r="Y167" s="736"/>
      <c r="Z167" s="560"/>
      <c r="AA167" s="652" t="s">
        <v>230</v>
      </c>
      <c r="AB167" s="652"/>
      <c r="AC167" s="652"/>
      <c r="AD167" s="652"/>
      <c r="AE167" s="652"/>
      <c r="AF167" s="652"/>
      <c r="AG167" s="652"/>
      <c r="AH167" s="652"/>
      <c r="AI167" s="652"/>
      <c r="AJ167" s="652"/>
      <c r="AK167" s="652"/>
      <c r="AL167" s="652"/>
      <c r="AM167" s="652"/>
      <c r="AN167" s="652"/>
      <c r="AO167" s="652"/>
      <c r="AP167" s="652"/>
      <c r="AQ167" s="652"/>
      <c r="AR167" s="652"/>
      <c r="AS167" s="652"/>
      <c r="AT167" s="652"/>
      <c r="AU167" s="652"/>
      <c r="AV167" s="652"/>
      <c r="AW167" s="652"/>
      <c r="AX167" s="652"/>
      <c r="AY167" s="652"/>
      <c r="AZ167" s="652"/>
    </row>
    <row r="168" spans="2:53" ht="62.25" customHeight="1" thickTop="1" x14ac:dyDescent="0.3">
      <c r="B168" s="770" t="s">
        <v>231</v>
      </c>
      <c r="C168" s="771"/>
      <c r="D168" s="771"/>
      <c r="E168" s="51" t="s">
        <v>232</v>
      </c>
      <c r="F168" s="51" t="s">
        <v>233</v>
      </c>
      <c r="G168" s="51" t="s">
        <v>234</v>
      </c>
      <c r="H168" s="51" t="s">
        <v>235</v>
      </c>
      <c r="I168" s="51" t="s">
        <v>236</v>
      </c>
      <c r="J168" s="51" t="s">
        <v>237</v>
      </c>
      <c r="K168"/>
      <c r="L168"/>
      <c r="M168" s="39"/>
      <c r="N168" s="39"/>
      <c r="O168" s="39"/>
      <c r="P168" s="39"/>
      <c r="Q168" s="39"/>
      <c r="R168" s="39"/>
      <c r="S168" s="39"/>
      <c r="T168" s="52" t="s">
        <v>128</v>
      </c>
      <c r="U168" s="52" t="s">
        <v>129</v>
      </c>
      <c r="V168" s="52" t="s">
        <v>130</v>
      </c>
      <c r="W168" s="52" t="s">
        <v>131</v>
      </c>
      <c r="X168" s="52" t="s">
        <v>132</v>
      </c>
      <c r="Y168" s="575" t="s">
        <v>112</v>
      </c>
      <c r="Z168" s="561"/>
      <c r="AA168" s="66" t="s">
        <v>128</v>
      </c>
      <c r="AB168" s="55" t="s">
        <v>129</v>
      </c>
      <c r="AC168" s="65" t="s">
        <v>130</v>
      </c>
      <c r="AD168" s="65" t="s">
        <v>131</v>
      </c>
      <c r="AE168" s="65" t="s">
        <v>132</v>
      </c>
      <c r="AF168" s="382" t="s">
        <v>133</v>
      </c>
      <c r="AG168" s="381"/>
      <c r="AH168" s="178" t="s">
        <v>233</v>
      </c>
      <c r="AI168" s="178" t="s">
        <v>234</v>
      </c>
      <c r="AJ168" s="178" t="s">
        <v>235</v>
      </c>
      <c r="AK168" s="178" t="s">
        <v>236</v>
      </c>
      <c r="AL168" s="178" t="s">
        <v>237</v>
      </c>
      <c r="AM168" s="770"/>
      <c r="AN168" s="771"/>
      <c r="AO168" s="771"/>
      <c r="AP168" s="51" t="s">
        <v>232</v>
      </c>
      <c r="BA168" s="40"/>
    </row>
    <row r="169" spans="2:53" ht="30" customHeight="1" x14ac:dyDescent="0.25">
      <c r="B169" s="706" t="s">
        <v>238</v>
      </c>
      <c r="C169" s="707"/>
      <c r="D169" s="708"/>
      <c r="E169" s="277"/>
      <c r="F169" s="276"/>
      <c r="G169" s="276"/>
      <c r="H169" s="276"/>
      <c r="I169" s="276"/>
      <c r="J169" s="276"/>
      <c r="K169"/>
      <c r="L169"/>
      <c r="M169" s="39"/>
      <c r="N169" s="39"/>
      <c r="O169" s="39"/>
      <c r="P169" s="39"/>
      <c r="Q169" s="39"/>
      <c r="R169" s="39"/>
      <c r="S169" s="39"/>
      <c r="T169" s="27">
        <f>ROUND($E169*F169,0)</f>
        <v>0</v>
      </c>
      <c r="U169" s="27">
        <f>ROUND($E169*G169,0)</f>
        <v>0</v>
      </c>
      <c r="V169" s="27">
        <f>ROUND($E169*H169,0)</f>
        <v>0</v>
      </c>
      <c r="W169" s="27">
        <f>ROUND($E169*I169,0)</f>
        <v>0</v>
      </c>
      <c r="X169" s="27">
        <f>ROUND($E169*J169,0)</f>
        <v>0</v>
      </c>
      <c r="Y169" s="69">
        <f>ROUND(SUM(T169:X169),0)</f>
        <v>0</v>
      </c>
      <c r="Z169" s="561">
        <f t="shared" ref="Z169:Z174" si="104">Y169+AF169</f>
        <v>0</v>
      </c>
      <c r="AA169" s="585">
        <f>$AP169*AH169</f>
        <v>0</v>
      </c>
      <c r="AB169" s="477">
        <f>$AP169*AI169</f>
        <v>0</v>
      </c>
      <c r="AC169" s="477">
        <f t="shared" ref="AC169:AE173" si="105">$AP169*AJ169</f>
        <v>0</v>
      </c>
      <c r="AD169" s="477">
        <f t="shared" si="105"/>
        <v>0</v>
      </c>
      <c r="AE169" s="477">
        <f t="shared" si="105"/>
        <v>0</v>
      </c>
      <c r="AF169" s="478">
        <f t="shared" ref="AF169:AF174" si="106">SUM(AA169:AE169)</f>
        <v>0</v>
      </c>
      <c r="AH169" s="276"/>
      <c r="AI169" s="276"/>
      <c r="AJ169" s="276"/>
      <c r="AK169" s="276"/>
      <c r="AL169" s="276"/>
      <c r="AM169" s="706" t="s">
        <v>238</v>
      </c>
      <c r="AN169" s="707"/>
      <c r="AO169" s="708"/>
      <c r="AP169" s="277"/>
      <c r="BA169" s="28"/>
    </row>
    <row r="170" spans="2:53" ht="30" hidden="1" customHeight="1" outlineLevel="1" x14ac:dyDescent="0.25">
      <c r="B170" s="706" t="s">
        <v>239</v>
      </c>
      <c r="C170" s="707"/>
      <c r="D170" s="708"/>
      <c r="E170" s="277"/>
      <c r="F170" s="276"/>
      <c r="G170" s="276"/>
      <c r="H170" s="276"/>
      <c r="I170" s="276"/>
      <c r="J170" s="276"/>
      <c r="K170"/>
      <c r="L170"/>
      <c r="M170" s="39"/>
      <c r="N170" s="39"/>
      <c r="O170" s="39"/>
      <c r="P170" s="39"/>
      <c r="Q170" s="39"/>
      <c r="R170" s="39"/>
      <c r="S170" s="39"/>
      <c r="T170" s="27">
        <f>ROUND($E170*F170,0)</f>
        <v>0</v>
      </c>
      <c r="U170" s="27">
        <f t="shared" ref="U170:U173" si="107">ROUND($E170*G170,0)</f>
        <v>0</v>
      </c>
      <c r="V170" s="27">
        <f t="shared" ref="V170:V173" si="108">ROUND($E170*H170,0)</f>
        <v>0</v>
      </c>
      <c r="W170" s="27">
        <f>ROUND($E170*I170,0)</f>
        <v>0</v>
      </c>
      <c r="X170" s="27">
        <f t="shared" ref="X170:X173" si="109">ROUND($E170*J170,0)</f>
        <v>0</v>
      </c>
      <c r="Y170" s="69">
        <f t="shared" ref="Y170:Y173" si="110">ROUND(SUM(T170:X170),0)</f>
        <v>0</v>
      </c>
      <c r="Z170" s="561">
        <f t="shared" si="104"/>
        <v>0</v>
      </c>
      <c r="AA170" s="585">
        <f>$AP170*AH170</f>
        <v>0</v>
      </c>
      <c r="AB170" s="477">
        <f t="shared" ref="AB170:AB172" si="111">$AP170*AI170</f>
        <v>0</v>
      </c>
      <c r="AC170" s="477">
        <f t="shared" si="105"/>
        <v>0</v>
      </c>
      <c r="AD170" s="477">
        <f t="shared" si="105"/>
        <v>0</v>
      </c>
      <c r="AE170" s="477">
        <f t="shared" si="105"/>
        <v>0</v>
      </c>
      <c r="AF170" s="478">
        <f t="shared" si="106"/>
        <v>0</v>
      </c>
      <c r="AH170" s="276"/>
      <c r="AI170" s="276"/>
      <c r="AJ170" s="276"/>
      <c r="AK170" s="276"/>
      <c r="AL170" s="276"/>
      <c r="AM170" s="706" t="s">
        <v>239</v>
      </c>
      <c r="AN170" s="707"/>
      <c r="AO170" s="708"/>
      <c r="AP170" s="277"/>
      <c r="BA170" s="28"/>
    </row>
    <row r="171" spans="2:53" ht="30" hidden="1" customHeight="1" outlineLevel="1" x14ac:dyDescent="0.25">
      <c r="B171" s="706" t="s">
        <v>240</v>
      </c>
      <c r="C171" s="707"/>
      <c r="D171" s="708"/>
      <c r="E171" s="277"/>
      <c r="F171" s="276"/>
      <c r="G171" s="276"/>
      <c r="H171" s="276"/>
      <c r="I171" s="276"/>
      <c r="J171" s="276"/>
      <c r="K171"/>
      <c r="L171"/>
      <c r="M171" s="39"/>
      <c r="N171" s="39"/>
      <c r="O171" s="39"/>
      <c r="P171" s="39"/>
      <c r="Q171" s="39"/>
      <c r="R171" s="39"/>
      <c r="S171" s="39"/>
      <c r="T171" s="27">
        <f t="shared" ref="T171:T173" si="112">ROUND($E171*F171,0)</f>
        <v>0</v>
      </c>
      <c r="U171" s="27">
        <f t="shared" si="107"/>
        <v>0</v>
      </c>
      <c r="V171" s="27">
        <f t="shared" si="108"/>
        <v>0</v>
      </c>
      <c r="W171" s="27">
        <f t="shared" ref="W171" si="113">ROUND($E171*I171,0)</f>
        <v>0</v>
      </c>
      <c r="X171" s="27">
        <f t="shared" si="109"/>
        <v>0</v>
      </c>
      <c r="Y171" s="69">
        <f t="shared" si="110"/>
        <v>0</v>
      </c>
      <c r="Z171" s="561">
        <f t="shared" si="104"/>
        <v>0</v>
      </c>
      <c r="AA171" s="585">
        <f t="shared" ref="AA171:AA173" si="114">$AP171*AH171</f>
        <v>0</v>
      </c>
      <c r="AB171" s="477">
        <f t="shared" si="111"/>
        <v>0</v>
      </c>
      <c r="AC171" s="477">
        <f t="shared" si="105"/>
        <v>0</v>
      </c>
      <c r="AD171" s="477">
        <f t="shared" si="105"/>
        <v>0</v>
      </c>
      <c r="AE171" s="477">
        <f t="shared" si="105"/>
        <v>0</v>
      </c>
      <c r="AF171" s="478">
        <f t="shared" si="106"/>
        <v>0</v>
      </c>
      <c r="AH171" s="276"/>
      <c r="AI171" s="276"/>
      <c r="AJ171" s="276"/>
      <c r="AK171" s="276"/>
      <c r="AL171" s="276"/>
      <c r="AM171" s="706" t="s">
        <v>240</v>
      </c>
      <c r="AN171" s="707"/>
      <c r="AO171" s="708"/>
      <c r="AP171" s="277"/>
      <c r="BA171" s="28"/>
    </row>
    <row r="172" spans="2:53" ht="30" hidden="1" customHeight="1" outlineLevel="1" x14ac:dyDescent="0.25">
      <c r="B172" s="706" t="s">
        <v>241</v>
      </c>
      <c r="C172" s="707"/>
      <c r="D172" s="708"/>
      <c r="E172" s="277"/>
      <c r="F172" s="276"/>
      <c r="G172" s="276"/>
      <c r="H172" s="276"/>
      <c r="I172" s="276"/>
      <c r="J172" s="276"/>
      <c r="K172"/>
      <c r="L172"/>
      <c r="M172" s="39"/>
      <c r="N172" s="39"/>
      <c r="O172" s="39"/>
      <c r="P172" s="39"/>
      <c r="Q172" s="39"/>
      <c r="R172" s="39"/>
      <c r="S172" s="39"/>
      <c r="T172" s="27">
        <f t="shared" si="112"/>
        <v>0</v>
      </c>
      <c r="U172" s="27">
        <f t="shared" si="107"/>
        <v>0</v>
      </c>
      <c r="V172" s="27">
        <f t="shared" si="108"/>
        <v>0</v>
      </c>
      <c r="W172" s="27">
        <f>ROUND($E172*I172,0)</f>
        <v>0</v>
      </c>
      <c r="X172" s="27">
        <f t="shared" si="109"/>
        <v>0</v>
      </c>
      <c r="Y172" s="69">
        <f t="shared" si="110"/>
        <v>0</v>
      </c>
      <c r="Z172" s="561">
        <f t="shared" si="104"/>
        <v>0</v>
      </c>
      <c r="AA172" s="585">
        <f t="shared" si="114"/>
        <v>0</v>
      </c>
      <c r="AB172" s="477">
        <f t="shared" si="111"/>
        <v>0</v>
      </c>
      <c r="AC172" s="477">
        <f>$AP172*AJ172</f>
        <v>0</v>
      </c>
      <c r="AD172" s="477">
        <f t="shared" si="105"/>
        <v>0</v>
      </c>
      <c r="AE172" s="477">
        <f t="shared" si="105"/>
        <v>0</v>
      </c>
      <c r="AF172" s="478">
        <f t="shared" si="106"/>
        <v>0</v>
      </c>
      <c r="AH172" s="276"/>
      <c r="AI172" s="276"/>
      <c r="AJ172" s="276"/>
      <c r="AK172" s="276"/>
      <c r="AL172" s="276"/>
      <c r="AM172" s="706" t="s">
        <v>241</v>
      </c>
      <c r="AN172" s="707"/>
      <c r="AO172" s="708"/>
      <c r="AP172" s="277"/>
      <c r="BA172" s="28"/>
    </row>
    <row r="173" spans="2:53" ht="30" hidden="1" customHeight="1" outlineLevel="1" x14ac:dyDescent="0.25">
      <c r="B173" s="706" t="s">
        <v>242</v>
      </c>
      <c r="C173" s="707"/>
      <c r="D173" s="708"/>
      <c r="E173" s="277"/>
      <c r="F173" s="276"/>
      <c r="G173" s="276"/>
      <c r="H173" s="276"/>
      <c r="I173" s="276"/>
      <c r="J173" s="276"/>
      <c r="K173"/>
      <c r="L173"/>
      <c r="M173" s="39"/>
      <c r="N173" s="39"/>
      <c r="O173" s="39"/>
      <c r="P173" s="39"/>
      <c r="Q173" s="39"/>
      <c r="R173" s="39"/>
      <c r="S173" s="39"/>
      <c r="T173" s="27">
        <f t="shared" si="112"/>
        <v>0</v>
      </c>
      <c r="U173" s="27">
        <f t="shared" si="107"/>
        <v>0</v>
      </c>
      <c r="V173" s="27">
        <f t="shared" si="108"/>
        <v>0</v>
      </c>
      <c r="W173" s="27">
        <f>ROUND($E173*I173,0)</f>
        <v>0</v>
      </c>
      <c r="X173" s="27">
        <f t="shared" si="109"/>
        <v>0</v>
      </c>
      <c r="Y173" s="69">
        <f t="shared" si="110"/>
        <v>0</v>
      </c>
      <c r="Z173" s="561">
        <f t="shared" si="104"/>
        <v>0</v>
      </c>
      <c r="AA173" s="585">
        <f t="shared" si="114"/>
        <v>0</v>
      </c>
      <c r="AB173" s="477">
        <f>$AP173*AI173</f>
        <v>0</v>
      </c>
      <c r="AC173" s="477">
        <f t="shared" si="105"/>
        <v>0</v>
      </c>
      <c r="AD173" s="477">
        <f t="shared" si="105"/>
        <v>0</v>
      </c>
      <c r="AE173" s="477">
        <f t="shared" si="105"/>
        <v>0</v>
      </c>
      <c r="AF173" s="478">
        <f t="shared" si="106"/>
        <v>0</v>
      </c>
      <c r="AH173" s="276"/>
      <c r="AI173" s="276"/>
      <c r="AJ173" s="276"/>
      <c r="AK173" s="276"/>
      <c r="AL173" s="276"/>
      <c r="AM173" s="706" t="s">
        <v>242</v>
      </c>
      <c r="AN173" s="707"/>
      <c r="AO173" s="708"/>
      <c r="AP173" s="277"/>
      <c r="BA173" s="28"/>
    </row>
    <row r="174" spans="2:53" ht="40.5" customHeight="1" collapsed="1" thickBot="1" x14ac:dyDescent="0.3">
      <c r="B174" s="732" t="s">
        <v>243</v>
      </c>
      <c r="C174" s="732"/>
      <c r="D174" s="732"/>
      <c r="E174" s="732"/>
      <c r="F174" s="732"/>
      <c r="G174" s="732"/>
      <c r="H174" s="732"/>
      <c r="I174" s="732"/>
      <c r="J174" s="354"/>
      <c r="K174" s="354"/>
      <c r="L174" s="354"/>
      <c r="M174" s="354"/>
      <c r="N174" s="354"/>
      <c r="O174" s="354"/>
      <c r="P174" s="354"/>
      <c r="Q174" s="354"/>
      <c r="R174" s="354"/>
      <c r="S174" s="354"/>
      <c r="T174" s="361">
        <f>ROUND(SUM(T169:T173),0)</f>
        <v>0</v>
      </c>
      <c r="U174" s="361">
        <f t="shared" ref="U174:W174" si="115">ROUND(SUM(U169:U173),0)</f>
        <v>0</v>
      </c>
      <c r="V174" s="361">
        <f t="shared" si="115"/>
        <v>0</v>
      </c>
      <c r="W174" s="361">
        <f t="shared" si="115"/>
        <v>0</v>
      </c>
      <c r="X174" s="361">
        <f>ROUND(SUM(X169:X173),0)</f>
        <v>0</v>
      </c>
      <c r="Y174" s="576">
        <f>ROUND(SUM(Y169:Y173),0)</f>
        <v>0</v>
      </c>
      <c r="Z174" s="561">
        <f t="shared" si="104"/>
        <v>0</v>
      </c>
      <c r="AA174" s="450">
        <f>SUM(AA169:AA173)</f>
        <v>0</v>
      </c>
      <c r="AB174" s="449">
        <f>SUM(AB169:AB173)</f>
        <v>0</v>
      </c>
      <c r="AC174" s="449">
        <f>SUM(AC169:AC173)</f>
        <v>0</v>
      </c>
      <c r="AD174" s="449">
        <f>SUM(AD169:AD173)</f>
        <v>0</v>
      </c>
      <c r="AE174" s="449">
        <f>SUM(AE169:AE173)</f>
        <v>0</v>
      </c>
      <c r="AF174" s="450">
        <f t="shared" si="106"/>
        <v>0</v>
      </c>
      <c r="AG174" s="404"/>
      <c r="AH174" s="704" t="s">
        <v>243</v>
      </c>
      <c r="AI174" s="704"/>
      <c r="AJ174" s="704"/>
      <c r="AK174" s="704"/>
      <c r="AL174" s="704"/>
      <c r="AM174" s="704"/>
      <c r="AN174" s="704"/>
      <c r="AO174" s="704"/>
      <c r="AP174" s="704"/>
      <c r="AQ174" s="704"/>
      <c r="AR174" s="704"/>
      <c r="AS174" s="704"/>
      <c r="AT174" s="704"/>
      <c r="AU174" s="704"/>
      <c r="AV174" s="704"/>
      <c r="AW174" s="704"/>
      <c r="AX174" s="704"/>
      <c r="AY174" s="704"/>
      <c r="AZ174" s="705"/>
      <c r="BA174" s="28"/>
    </row>
    <row r="175" spans="2:53" ht="52.5" customHeight="1" thickBot="1" x14ac:dyDescent="0.3">
      <c r="B175" s="721" t="s">
        <v>244</v>
      </c>
      <c r="C175" s="721"/>
      <c r="D175" s="721"/>
      <c r="E175" s="721"/>
      <c r="F175" s="721"/>
      <c r="G175" s="721"/>
      <c r="H175" s="721"/>
      <c r="I175" s="721"/>
      <c r="J175" s="721"/>
      <c r="K175" s="721"/>
      <c r="L175" s="721"/>
      <c r="M175" s="721"/>
      <c r="N175" s="721"/>
      <c r="O175" s="721"/>
      <c r="P175" s="721"/>
      <c r="Q175" s="721"/>
      <c r="R175" s="721"/>
      <c r="S175" s="721"/>
      <c r="T175" s="721"/>
      <c r="U175" s="721"/>
      <c r="V175" s="721"/>
      <c r="W175" s="721"/>
      <c r="X175" s="721"/>
      <c r="Y175" s="736"/>
      <c r="Z175" s="561"/>
      <c r="AA175" s="652" t="s">
        <v>244</v>
      </c>
      <c r="AB175" s="652"/>
      <c r="AC175" s="652"/>
      <c r="AD175" s="652"/>
      <c r="AE175" s="652"/>
      <c r="AF175" s="652"/>
      <c r="AG175" s="652"/>
      <c r="AH175" s="652"/>
      <c r="AI175" s="652"/>
      <c r="AJ175" s="652"/>
      <c r="AK175" s="652"/>
      <c r="AL175" s="652"/>
      <c r="AM175" s="652"/>
      <c r="AN175" s="652"/>
      <c r="AO175" s="652"/>
      <c r="AP175" s="652"/>
      <c r="AQ175" s="652"/>
      <c r="AR175" s="652"/>
      <c r="AS175" s="652"/>
      <c r="AT175" s="652"/>
      <c r="AU175" s="652"/>
      <c r="AV175" s="652"/>
      <c r="AW175" s="652"/>
      <c r="AX175" s="652"/>
      <c r="AY175" s="652"/>
      <c r="AZ175" s="652"/>
    </row>
    <row r="176" spans="2:53" ht="36.75" customHeight="1" thickTop="1" x14ac:dyDescent="0.3">
      <c r="B176" s="769" t="s">
        <v>245</v>
      </c>
      <c r="C176" s="769"/>
      <c r="D176" s="659" t="s">
        <v>221</v>
      </c>
      <c r="E176" s="659"/>
      <c r="F176" s="659"/>
      <c r="G176" s="659"/>
      <c r="H176" s="659"/>
      <c r="I176" s="659"/>
      <c r="J176" s="659"/>
      <c r="K176" s="659"/>
      <c r="L176" s="6"/>
      <c r="M176" s="6"/>
      <c r="N176" s="6"/>
      <c r="O176" s="6"/>
      <c r="P176" s="6"/>
      <c r="Q176" s="6"/>
      <c r="R176" s="6"/>
      <c r="S176" s="6"/>
      <c r="T176" s="52" t="s">
        <v>128</v>
      </c>
      <c r="U176" s="52" t="s">
        <v>129</v>
      </c>
      <c r="V176" s="52" t="s">
        <v>130</v>
      </c>
      <c r="W176" s="52" t="s">
        <v>131</v>
      </c>
      <c r="X176" s="52" t="s">
        <v>132</v>
      </c>
      <c r="Y176" s="577" t="s">
        <v>112</v>
      </c>
      <c r="Z176" s="561"/>
      <c r="AA176" s="55" t="s">
        <v>128</v>
      </c>
      <c r="AB176" s="55" t="s">
        <v>129</v>
      </c>
      <c r="AC176" s="380" t="s">
        <v>130</v>
      </c>
      <c r="AD176" s="380" t="s">
        <v>131</v>
      </c>
      <c r="AE176" s="380" t="s">
        <v>132</v>
      </c>
      <c r="AF176" s="378" t="s">
        <v>133</v>
      </c>
      <c r="AG176" s="381"/>
      <c r="AH176" s="193" t="s">
        <v>245</v>
      </c>
      <c r="AI176" s="193"/>
      <c r="AJ176" s="185"/>
      <c r="AK176" s="185"/>
      <c r="AL176" s="185"/>
      <c r="AM176" s="185"/>
      <c r="AN176" s="185"/>
      <c r="AO176" s="185"/>
      <c r="AP176" s="185"/>
      <c r="AQ176" s="185"/>
      <c r="AR176" s="185"/>
      <c r="AS176" s="185"/>
      <c r="AT176" s="6"/>
      <c r="AU176" s="6"/>
      <c r="AV176" s="6"/>
      <c r="AW176" s="6"/>
      <c r="AX176" s="6"/>
      <c r="AY176" s="6"/>
      <c r="AZ176" s="203"/>
    </row>
    <row r="177" spans="1:52" ht="25.5" customHeight="1" x14ac:dyDescent="0.25">
      <c r="B177" s="775" t="s">
        <v>246</v>
      </c>
      <c r="C177" s="775"/>
      <c r="D177" s="725"/>
      <c r="E177" s="726"/>
      <c r="F177" s="726"/>
      <c r="G177" s="726"/>
      <c r="H177" s="726"/>
      <c r="I177" s="726"/>
      <c r="J177" s="726"/>
      <c r="K177" s="727"/>
      <c r="L177" s="165"/>
      <c r="M177" s="165"/>
      <c r="N177" s="165"/>
      <c r="O177" s="165"/>
      <c r="P177" s="165"/>
      <c r="Q177" s="165"/>
      <c r="R177" s="165"/>
      <c r="S177" s="161"/>
      <c r="T177" s="278"/>
      <c r="U177" s="278"/>
      <c r="V177" s="278"/>
      <c r="W177" s="278"/>
      <c r="X177" s="278"/>
      <c r="Y177" s="772">
        <f>ROUND(SUM(T177:T181,U177:U181,V177:V181, W177:W181,X177:X181),0)</f>
        <v>0</v>
      </c>
      <c r="Z177" s="719">
        <f>MatSupTOT+AF177</f>
        <v>0</v>
      </c>
      <c r="AA177" s="584"/>
      <c r="AB177" s="276"/>
      <c r="AC177" s="276"/>
      <c r="AD177" s="276"/>
      <c r="AE177" s="276"/>
      <c r="AF177" s="819">
        <f>SUM(AA177:AA181,AB177:AB181,AC177:AC181,AD177:AD181,AE177:AE181)</f>
        <v>0</v>
      </c>
      <c r="AH177" s="187" t="s">
        <v>246</v>
      </c>
      <c r="AI177" s="188"/>
      <c r="AJ177" s="694"/>
      <c r="AK177" s="695"/>
      <c r="AL177" s="695"/>
      <c r="AM177" s="695"/>
      <c r="AN177" s="695"/>
      <c r="AO177" s="695"/>
      <c r="AP177" s="695"/>
      <c r="AQ177" s="695"/>
      <c r="AR177" s="695"/>
      <c r="AS177" s="696"/>
      <c r="AZ177" s="151"/>
    </row>
    <row r="178" spans="1:52" ht="25.5" customHeight="1" x14ac:dyDescent="0.25">
      <c r="B178" s="775"/>
      <c r="C178" s="775"/>
      <c r="D178" s="725"/>
      <c r="E178" s="726"/>
      <c r="F178" s="726"/>
      <c r="G178" s="726"/>
      <c r="H178" s="726"/>
      <c r="I178" s="726"/>
      <c r="J178" s="726"/>
      <c r="K178" s="727"/>
      <c r="L178" s="165"/>
      <c r="M178" s="165"/>
      <c r="N178" s="165"/>
      <c r="O178" s="165"/>
      <c r="P178" s="165"/>
      <c r="Q178" s="165"/>
      <c r="R178" s="165"/>
      <c r="S178" s="161"/>
      <c r="T178" s="278"/>
      <c r="U178" s="277"/>
      <c r="V178" s="277"/>
      <c r="W178" s="277"/>
      <c r="X178" s="277"/>
      <c r="Y178" s="772"/>
      <c r="Z178" s="719"/>
      <c r="AA178" s="584"/>
      <c r="AB178" s="276"/>
      <c r="AC178" s="276"/>
      <c r="AD178" s="276"/>
      <c r="AE178" s="276"/>
      <c r="AF178" s="820"/>
      <c r="AH178" s="189"/>
      <c r="AI178" s="190"/>
      <c r="AJ178" s="694"/>
      <c r="AK178" s="695"/>
      <c r="AL178" s="695"/>
      <c r="AM178" s="695"/>
      <c r="AN178" s="695"/>
      <c r="AO178" s="695"/>
      <c r="AP178" s="695"/>
      <c r="AQ178" s="695"/>
      <c r="AR178" s="695"/>
      <c r="AS178" s="696"/>
      <c r="AZ178" s="151"/>
    </row>
    <row r="179" spans="1:52" ht="25.5" customHeight="1" x14ac:dyDescent="0.25">
      <c r="B179" s="775"/>
      <c r="C179" s="775"/>
      <c r="D179" s="725"/>
      <c r="E179" s="726"/>
      <c r="F179" s="726"/>
      <c r="G179" s="726"/>
      <c r="H179" s="726"/>
      <c r="I179" s="726"/>
      <c r="J179" s="726"/>
      <c r="K179" s="727"/>
      <c r="L179" s="165"/>
      <c r="M179" s="165"/>
      <c r="N179" s="165"/>
      <c r="O179" s="165"/>
      <c r="P179" s="165"/>
      <c r="Q179" s="165"/>
      <c r="R179" s="165"/>
      <c r="S179" s="161"/>
      <c r="T179" s="278"/>
      <c r="U179" s="277"/>
      <c r="V179" s="277"/>
      <c r="W179" s="277"/>
      <c r="X179" s="277"/>
      <c r="Y179" s="772"/>
      <c r="Z179" s="719"/>
      <c r="AA179" s="584"/>
      <c r="AB179" s="276"/>
      <c r="AC179" s="276"/>
      <c r="AD179" s="276"/>
      <c r="AE179" s="276"/>
      <c r="AF179" s="820"/>
      <c r="AH179" s="189"/>
      <c r="AI179" s="190"/>
      <c r="AJ179" s="694"/>
      <c r="AK179" s="695"/>
      <c r="AL179" s="695"/>
      <c r="AM179" s="695"/>
      <c r="AN179" s="695"/>
      <c r="AO179" s="695"/>
      <c r="AP179" s="695"/>
      <c r="AQ179" s="695"/>
      <c r="AR179" s="695"/>
      <c r="AS179" s="696"/>
      <c r="AZ179" s="151"/>
    </row>
    <row r="180" spans="1:52" ht="25.5" customHeight="1" x14ac:dyDescent="0.25">
      <c r="B180" s="775"/>
      <c r="C180" s="775"/>
      <c r="D180" s="725"/>
      <c r="E180" s="726"/>
      <c r="F180" s="726"/>
      <c r="G180" s="726"/>
      <c r="H180" s="726"/>
      <c r="I180" s="726"/>
      <c r="J180" s="726"/>
      <c r="K180" s="727"/>
      <c r="L180" s="165"/>
      <c r="M180" s="165"/>
      <c r="N180" s="165"/>
      <c r="O180" s="165"/>
      <c r="P180" s="165"/>
      <c r="Q180" s="165"/>
      <c r="R180" s="165"/>
      <c r="S180" s="161"/>
      <c r="T180" s="278"/>
      <c r="U180" s="278"/>
      <c r="V180" s="278"/>
      <c r="W180" s="278"/>
      <c r="X180" s="278"/>
      <c r="Y180" s="772"/>
      <c r="Z180" s="719"/>
      <c r="AA180" s="584"/>
      <c r="AB180" s="276"/>
      <c r="AC180" s="276"/>
      <c r="AD180" s="276"/>
      <c r="AE180" s="276"/>
      <c r="AF180" s="820"/>
      <c r="AH180" s="189"/>
      <c r="AI180" s="190"/>
      <c r="AJ180" s="694"/>
      <c r="AK180" s="695"/>
      <c r="AL180" s="695"/>
      <c r="AM180" s="695"/>
      <c r="AN180" s="695"/>
      <c r="AO180" s="695"/>
      <c r="AP180" s="695"/>
      <c r="AQ180" s="695"/>
      <c r="AR180" s="695"/>
      <c r="AS180" s="696"/>
      <c r="AZ180" s="151"/>
    </row>
    <row r="181" spans="1:52" ht="25.5" customHeight="1" thickBot="1" x14ac:dyDescent="0.3">
      <c r="B181" s="776"/>
      <c r="C181" s="776"/>
      <c r="D181" s="739"/>
      <c r="E181" s="740"/>
      <c r="F181" s="740"/>
      <c r="G181" s="740"/>
      <c r="H181" s="740"/>
      <c r="I181" s="740"/>
      <c r="J181" s="740"/>
      <c r="K181" s="741"/>
      <c r="L181" s="165"/>
      <c r="M181" s="165"/>
      <c r="N181" s="165"/>
      <c r="O181" s="165"/>
      <c r="P181" s="165"/>
      <c r="Q181" s="165"/>
      <c r="R181" s="165"/>
      <c r="S181" s="161"/>
      <c r="T181" s="279"/>
      <c r="U181" s="280"/>
      <c r="V181" s="280"/>
      <c r="W181" s="280"/>
      <c r="X181" s="280"/>
      <c r="Y181" s="773"/>
      <c r="Z181" s="719"/>
      <c r="AA181" s="584"/>
      <c r="AB181" s="283"/>
      <c r="AC181" s="283"/>
      <c r="AD181" s="276"/>
      <c r="AE181" s="550"/>
      <c r="AF181" s="821"/>
      <c r="AH181" s="191"/>
      <c r="AI181" s="192"/>
      <c r="AJ181" s="691"/>
      <c r="AK181" s="692"/>
      <c r="AL181" s="692"/>
      <c r="AM181" s="692"/>
      <c r="AN181" s="692"/>
      <c r="AO181" s="692"/>
      <c r="AP181" s="692"/>
      <c r="AQ181" s="692"/>
      <c r="AR181" s="692"/>
      <c r="AS181" s="693"/>
      <c r="AZ181" s="151"/>
    </row>
    <row r="182" spans="1:52" ht="25.5" customHeight="1" x14ac:dyDescent="0.25">
      <c r="A182" s="549"/>
      <c r="B182" s="786" t="s">
        <v>247</v>
      </c>
      <c r="C182" s="786"/>
      <c r="D182" s="742"/>
      <c r="E182" s="743"/>
      <c r="F182" s="743"/>
      <c r="G182" s="743"/>
      <c r="H182" s="743"/>
      <c r="I182" s="743"/>
      <c r="J182" s="743"/>
      <c r="K182" s="744"/>
      <c r="S182" s="160"/>
      <c r="T182" s="281"/>
      <c r="U182" s="282"/>
      <c r="V182" s="282"/>
      <c r="W182" s="282"/>
      <c r="X182" s="282"/>
      <c r="Y182" s="74">
        <f>ROUND(SUM(T182:X182),0)</f>
        <v>0</v>
      </c>
      <c r="Z182" s="561">
        <f>PubTOT+AF182</f>
        <v>0</v>
      </c>
      <c r="AA182" s="582"/>
      <c r="AB182" s="284"/>
      <c r="AC182" s="284"/>
      <c r="AD182" s="284"/>
      <c r="AE182" s="551"/>
      <c r="AF182" s="252">
        <f t="shared" ref="AF182:AF193" si="116">SUM(AA182:AE182)</f>
        <v>0</v>
      </c>
      <c r="AH182" s="638" t="s">
        <v>248</v>
      </c>
      <c r="AI182" s="639"/>
      <c r="AJ182" s="831"/>
      <c r="AK182" s="832"/>
      <c r="AL182" s="832"/>
      <c r="AM182" s="832"/>
      <c r="AN182" s="832"/>
      <c r="AO182" s="832"/>
      <c r="AP182" s="832"/>
      <c r="AQ182" s="832"/>
      <c r="AR182" s="832"/>
      <c r="AS182" s="833"/>
      <c r="AZ182" s="151"/>
    </row>
    <row r="183" spans="1:52" ht="25.5" customHeight="1" x14ac:dyDescent="0.25">
      <c r="B183" s="781" t="s">
        <v>249</v>
      </c>
      <c r="C183" s="781"/>
      <c r="D183" s="745"/>
      <c r="E183" s="746"/>
      <c r="F183" s="746"/>
      <c r="G183" s="746"/>
      <c r="H183" s="746"/>
      <c r="I183" s="746"/>
      <c r="J183" s="746"/>
      <c r="K183" s="747"/>
      <c r="S183" s="160"/>
      <c r="T183" s="278"/>
      <c r="U183" s="277"/>
      <c r="V183" s="277"/>
      <c r="W183" s="277"/>
      <c r="X183" s="277"/>
      <c r="Y183" s="74">
        <f t="shared" ref="Y183:Y192" si="117">ROUND(SUM(T183:X183),0)</f>
        <v>0</v>
      </c>
      <c r="Z183" s="561">
        <f>ConsultantTot+AF183</f>
        <v>0</v>
      </c>
      <c r="AA183" s="583"/>
      <c r="AB183" s="276"/>
      <c r="AC183" s="276"/>
      <c r="AD183" s="276"/>
      <c r="AE183" s="552"/>
      <c r="AF183" s="252">
        <f t="shared" si="116"/>
        <v>0</v>
      </c>
      <c r="AH183" s="640" t="s">
        <v>247</v>
      </c>
      <c r="AI183" s="641"/>
      <c r="AJ183" s="694"/>
      <c r="AK183" s="695"/>
      <c r="AL183" s="695"/>
      <c r="AM183" s="695"/>
      <c r="AN183" s="695"/>
      <c r="AO183" s="695"/>
      <c r="AP183" s="695"/>
      <c r="AQ183" s="695"/>
      <c r="AR183" s="695"/>
      <c r="AS183" s="696"/>
      <c r="AZ183" s="151"/>
    </row>
    <row r="184" spans="1:52" ht="25.5" customHeight="1" x14ac:dyDescent="0.25">
      <c r="B184" s="781" t="s">
        <v>250</v>
      </c>
      <c r="C184" s="781"/>
      <c r="D184" s="725"/>
      <c r="E184" s="726"/>
      <c r="F184" s="726"/>
      <c r="G184" s="726"/>
      <c r="H184" s="726"/>
      <c r="I184" s="726"/>
      <c r="J184" s="726"/>
      <c r="K184" s="727"/>
      <c r="S184" s="160"/>
      <c r="T184" s="278"/>
      <c r="U184" s="277"/>
      <c r="V184" s="277"/>
      <c r="W184" s="277"/>
      <c r="X184" s="277"/>
      <c r="Y184" s="74">
        <f t="shared" si="117"/>
        <v>0</v>
      </c>
      <c r="Z184" s="561">
        <f>CompSvcsTot+AF184</f>
        <v>0</v>
      </c>
      <c r="AA184" s="581"/>
      <c r="AB184" s="276"/>
      <c r="AC184" s="276"/>
      <c r="AD184" s="276"/>
      <c r="AE184" s="552"/>
      <c r="AF184" s="252">
        <f t="shared" si="116"/>
        <v>0</v>
      </c>
      <c r="AH184" s="640" t="s">
        <v>250</v>
      </c>
      <c r="AI184" s="641"/>
      <c r="AJ184" s="694"/>
      <c r="AK184" s="695"/>
      <c r="AL184" s="695"/>
      <c r="AM184" s="695"/>
      <c r="AN184" s="695"/>
      <c r="AO184" s="695"/>
      <c r="AP184" s="695"/>
      <c r="AQ184" s="695"/>
      <c r="AR184" s="695"/>
      <c r="AS184" s="696"/>
      <c r="AZ184" s="151"/>
    </row>
    <row r="185" spans="1:52" ht="25.5" customHeight="1" x14ac:dyDescent="0.25">
      <c r="B185" s="781" t="s">
        <v>251</v>
      </c>
      <c r="C185" s="781"/>
      <c r="D185" s="725"/>
      <c r="E185" s="726"/>
      <c r="F185" s="726"/>
      <c r="G185" s="726"/>
      <c r="H185" s="726"/>
      <c r="I185" s="726"/>
      <c r="J185" s="726"/>
      <c r="K185" s="727"/>
      <c r="S185" s="160"/>
      <c r="T185" s="278"/>
      <c r="U185" s="277"/>
      <c r="V185" s="277"/>
      <c r="W185" s="277"/>
      <c r="X185" s="277"/>
      <c r="Y185" s="74">
        <f t="shared" si="117"/>
        <v>0</v>
      </c>
      <c r="Z185" s="561">
        <f t="shared" ref="Z185:Z192" si="118">Y185+AF185</f>
        <v>0</v>
      </c>
      <c r="AA185" s="581"/>
      <c r="AB185" s="276"/>
      <c r="AC185" s="276"/>
      <c r="AD185" s="276"/>
      <c r="AE185" s="552"/>
      <c r="AF185" s="252">
        <f t="shared" si="116"/>
        <v>0</v>
      </c>
      <c r="AH185" s="640" t="s">
        <v>251</v>
      </c>
      <c r="AI185" s="641"/>
      <c r="AJ185" s="694"/>
      <c r="AK185" s="695"/>
      <c r="AL185" s="695"/>
      <c r="AM185" s="695"/>
      <c r="AN185" s="695"/>
      <c r="AO185" s="695"/>
      <c r="AP185" s="695"/>
      <c r="AQ185" s="695"/>
      <c r="AR185" s="695"/>
      <c r="AS185" s="696"/>
      <c r="AZ185" s="151"/>
    </row>
    <row r="186" spans="1:52" ht="25.5" customHeight="1" x14ac:dyDescent="0.25">
      <c r="B186" s="781" t="s">
        <v>252</v>
      </c>
      <c r="C186" s="781"/>
      <c r="D186" s="725"/>
      <c r="E186" s="726"/>
      <c r="F186" s="726"/>
      <c r="G186" s="726"/>
      <c r="H186" s="726"/>
      <c r="I186" s="726"/>
      <c r="J186" s="726"/>
      <c r="K186" s="727"/>
      <c r="S186" s="160"/>
      <c r="T186" s="278"/>
      <c r="U186" s="277"/>
      <c r="V186" s="277"/>
      <c r="W186" s="277"/>
      <c r="X186" s="277"/>
      <c r="Y186" s="74">
        <f t="shared" si="117"/>
        <v>0</v>
      </c>
      <c r="Z186" s="561">
        <f t="shared" si="118"/>
        <v>0</v>
      </c>
      <c r="AA186" s="581"/>
      <c r="AB186" s="276"/>
      <c r="AC186" s="276"/>
      <c r="AD186" s="276"/>
      <c r="AE186" s="552"/>
      <c r="AF186" s="252">
        <f t="shared" si="116"/>
        <v>0</v>
      </c>
      <c r="AH186" s="640" t="s">
        <v>252</v>
      </c>
      <c r="AI186" s="641"/>
      <c r="AJ186" s="694"/>
      <c r="AK186" s="695"/>
      <c r="AL186" s="695"/>
      <c r="AM186" s="695"/>
      <c r="AN186" s="695"/>
      <c r="AO186" s="695"/>
      <c r="AP186" s="695"/>
      <c r="AQ186" s="695"/>
      <c r="AR186" s="695"/>
      <c r="AS186" s="696"/>
      <c r="AZ186" s="151"/>
    </row>
    <row r="187" spans="1:52" ht="34.5" customHeight="1" x14ac:dyDescent="0.25">
      <c r="B187" s="784" t="s">
        <v>253</v>
      </c>
      <c r="C187" s="785"/>
      <c r="D187" s="725"/>
      <c r="E187" s="726"/>
      <c r="F187" s="726"/>
      <c r="G187" s="726"/>
      <c r="H187" s="726"/>
      <c r="I187" s="726"/>
      <c r="J187" s="726"/>
      <c r="K187" s="727"/>
      <c r="S187" s="160"/>
      <c r="T187" s="278"/>
      <c r="U187" s="277"/>
      <c r="V187" s="277"/>
      <c r="W187" s="277"/>
      <c r="X187" s="277"/>
      <c r="Y187" s="74">
        <f t="shared" si="117"/>
        <v>0</v>
      </c>
      <c r="Z187" s="561">
        <f t="shared" si="118"/>
        <v>0</v>
      </c>
      <c r="AA187" s="581"/>
      <c r="AB187" s="276"/>
      <c r="AC187" s="276"/>
      <c r="AD187" s="276"/>
      <c r="AE187" s="552"/>
      <c r="AF187" s="252">
        <f t="shared" si="116"/>
        <v>0</v>
      </c>
      <c r="AH187" s="642" t="s">
        <v>254</v>
      </c>
      <c r="AI187" s="643"/>
      <c r="AJ187" s="694"/>
      <c r="AK187" s="695"/>
      <c r="AL187" s="695"/>
      <c r="AM187" s="695"/>
      <c r="AN187" s="695"/>
      <c r="AO187" s="695"/>
      <c r="AP187" s="695"/>
      <c r="AQ187" s="695"/>
      <c r="AR187" s="695"/>
      <c r="AS187" s="696"/>
      <c r="AZ187" s="151"/>
    </row>
    <row r="188" spans="1:52" ht="34.5" customHeight="1" x14ac:dyDescent="0.25">
      <c r="B188" s="459"/>
      <c r="C188" s="460"/>
      <c r="D188" s="456"/>
      <c r="E188" s="457"/>
      <c r="F188" s="457"/>
      <c r="G188" s="457"/>
      <c r="H188" s="457"/>
      <c r="I188" s="457"/>
      <c r="J188" s="457"/>
      <c r="K188" s="458"/>
      <c r="S188" s="160"/>
      <c r="T188" s="278"/>
      <c r="U188" s="277"/>
      <c r="V188" s="277"/>
      <c r="W188" s="277"/>
      <c r="X188" s="277"/>
      <c r="Y188" s="74">
        <f t="shared" si="117"/>
        <v>0</v>
      </c>
      <c r="Z188" s="561"/>
      <c r="AA188" s="581"/>
      <c r="AB188" s="276"/>
      <c r="AC188" s="276"/>
      <c r="AD188" s="276"/>
      <c r="AE188" s="552"/>
      <c r="AF188" s="252"/>
      <c r="AH188" s="194"/>
      <c r="AI188" s="195"/>
      <c r="AJ188" s="453"/>
      <c r="AK188" s="454"/>
      <c r="AL188" s="454"/>
      <c r="AM188" s="454"/>
      <c r="AN188" s="454"/>
      <c r="AO188" s="454"/>
      <c r="AP188" s="454"/>
      <c r="AQ188" s="454"/>
      <c r="AR188" s="454"/>
      <c r="AS188" s="455"/>
      <c r="AZ188" s="151"/>
    </row>
    <row r="189" spans="1:52" ht="34.5" customHeight="1" x14ac:dyDescent="0.25">
      <c r="B189" s="459"/>
      <c r="C189" s="460"/>
      <c r="D189" s="456"/>
      <c r="E189" s="457"/>
      <c r="F189" s="457"/>
      <c r="G189" s="457"/>
      <c r="H189" s="457"/>
      <c r="I189" s="457"/>
      <c r="J189" s="457"/>
      <c r="K189" s="458"/>
      <c r="S189" s="160"/>
      <c r="T189" s="278"/>
      <c r="U189" s="277"/>
      <c r="V189" s="277"/>
      <c r="W189" s="277"/>
      <c r="X189" s="277"/>
      <c r="Y189" s="74">
        <f t="shared" si="117"/>
        <v>0</v>
      </c>
      <c r="Z189" s="561"/>
      <c r="AA189" s="581"/>
      <c r="AB189" s="276"/>
      <c r="AC189" s="276"/>
      <c r="AD189" s="276"/>
      <c r="AE189" s="552"/>
      <c r="AF189" s="252"/>
      <c r="AH189" s="194"/>
      <c r="AI189" s="195"/>
      <c r="AJ189" s="453"/>
      <c r="AK189" s="454"/>
      <c r="AL189" s="454"/>
      <c r="AM189" s="454"/>
      <c r="AN189" s="454"/>
      <c r="AO189" s="454"/>
      <c r="AP189" s="454"/>
      <c r="AQ189" s="454"/>
      <c r="AR189" s="454"/>
      <c r="AS189" s="455"/>
      <c r="AZ189" s="151"/>
    </row>
    <row r="190" spans="1:52" ht="31.5" customHeight="1" x14ac:dyDescent="0.25">
      <c r="B190" s="679"/>
      <c r="C190" s="681"/>
      <c r="D190" s="725"/>
      <c r="E190" s="726"/>
      <c r="F190" s="726"/>
      <c r="G190" s="726"/>
      <c r="H190" s="726"/>
      <c r="I190" s="726"/>
      <c r="J190" s="726"/>
      <c r="K190" s="727"/>
      <c r="L190" s="160"/>
      <c r="M190" s="160"/>
      <c r="N190" s="160"/>
      <c r="O190" s="160"/>
      <c r="P190" s="160"/>
      <c r="Q190" s="160"/>
      <c r="R190" s="160"/>
      <c r="S190" s="160"/>
      <c r="T190" s="278"/>
      <c r="U190" s="277"/>
      <c r="V190" s="277"/>
      <c r="W190" s="277"/>
      <c r="X190" s="277"/>
      <c r="Y190" s="74">
        <f t="shared" si="117"/>
        <v>0</v>
      </c>
      <c r="Z190" s="561">
        <f t="shared" si="118"/>
        <v>0</v>
      </c>
      <c r="AA190" s="581"/>
      <c r="AB190" s="276"/>
      <c r="AC190" s="276"/>
      <c r="AD190" s="276"/>
      <c r="AE190" s="552"/>
      <c r="AF190" s="252">
        <f t="shared" si="116"/>
        <v>0</v>
      </c>
      <c r="AH190" s="194"/>
      <c r="AI190" s="195"/>
      <c r="AJ190" s="694"/>
      <c r="AK190" s="695"/>
      <c r="AL190" s="695"/>
      <c r="AM190" s="695"/>
      <c r="AN190" s="695"/>
      <c r="AO190" s="695"/>
      <c r="AP190" s="695"/>
      <c r="AQ190" s="695"/>
      <c r="AR190" s="695"/>
      <c r="AS190" s="696"/>
      <c r="AZ190" s="151"/>
    </row>
    <row r="191" spans="1:52" ht="31.5" customHeight="1" x14ac:dyDescent="0.25">
      <c r="B191" s="679"/>
      <c r="C191" s="681"/>
      <c r="D191" s="725"/>
      <c r="E191" s="726"/>
      <c r="F191" s="726"/>
      <c r="G191" s="726"/>
      <c r="H191" s="726"/>
      <c r="I191" s="726"/>
      <c r="J191" s="726"/>
      <c r="K191" s="727"/>
      <c r="L191" s="160"/>
      <c r="M191" s="160"/>
      <c r="N191" s="160"/>
      <c r="O191" s="160"/>
      <c r="P191" s="160"/>
      <c r="Q191" s="160"/>
      <c r="R191" s="160"/>
      <c r="S191" s="160"/>
      <c r="T191" s="278"/>
      <c r="U191" s="277"/>
      <c r="V191" s="277"/>
      <c r="W191" s="277"/>
      <c r="X191" s="277"/>
      <c r="Y191" s="74">
        <f t="shared" si="117"/>
        <v>0</v>
      </c>
      <c r="Z191" s="561">
        <f t="shared" si="118"/>
        <v>0</v>
      </c>
      <c r="AA191" s="581"/>
      <c r="AB191" s="276"/>
      <c r="AC191" s="276"/>
      <c r="AD191" s="276"/>
      <c r="AE191" s="552"/>
      <c r="AF191" s="252">
        <f t="shared" si="116"/>
        <v>0</v>
      </c>
      <c r="AH191" s="196"/>
      <c r="AI191" s="197"/>
      <c r="AJ191" s="694"/>
      <c r="AK191" s="695"/>
      <c r="AL191" s="695"/>
      <c r="AM191" s="695"/>
      <c r="AN191" s="695"/>
      <c r="AO191" s="695"/>
      <c r="AP191" s="695"/>
      <c r="AQ191" s="695"/>
      <c r="AR191" s="695"/>
      <c r="AS191" s="696"/>
      <c r="AZ191" s="151"/>
    </row>
    <row r="192" spans="1:52" ht="33" customHeight="1" x14ac:dyDescent="0.25">
      <c r="B192" s="782"/>
      <c r="C192" s="782"/>
      <c r="D192" s="725"/>
      <c r="E192" s="726"/>
      <c r="F192" s="726"/>
      <c r="G192" s="726"/>
      <c r="H192" s="726"/>
      <c r="I192" s="726"/>
      <c r="J192" s="726"/>
      <c r="K192" s="727"/>
      <c r="L192" s="165"/>
      <c r="M192" s="165"/>
      <c r="N192" s="165"/>
      <c r="O192" s="165"/>
      <c r="P192" s="165"/>
      <c r="Q192" s="165"/>
      <c r="R192" s="165"/>
      <c r="S192" s="161"/>
      <c r="T192" s="278"/>
      <c r="U192" s="277"/>
      <c r="V192" s="277"/>
      <c r="W192" s="277"/>
      <c r="X192" s="277"/>
      <c r="Y192" s="74">
        <f t="shared" si="117"/>
        <v>0</v>
      </c>
      <c r="Z192" s="561">
        <f t="shared" si="118"/>
        <v>0</v>
      </c>
      <c r="AA192" s="581"/>
      <c r="AB192" s="276"/>
      <c r="AC192" s="276"/>
      <c r="AD192" s="276"/>
      <c r="AE192" s="552"/>
      <c r="AF192" s="252">
        <f t="shared" si="116"/>
        <v>0</v>
      </c>
      <c r="AH192" s="198"/>
      <c r="AI192" s="199"/>
      <c r="AJ192" s="828"/>
      <c r="AK192" s="829"/>
      <c r="AL192" s="829"/>
      <c r="AM192" s="829"/>
      <c r="AN192" s="829"/>
      <c r="AO192" s="829"/>
      <c r="AP192" s="829"/>
      <c r="AQ192" s="829"/>
      <c r="AR192" s="829"/>
      <c r="AS192" s="830"/>
      <c r="AT192" s="219"/>
      <c r="AU192" s="219"/>
      <c r="AV192" s="219"/>
      <c r="AW192" s="219"/>
      <c r="AX192" s="219"/>
      <c r="AY192" s="219"/>
      <c r="AZ192" s="151"/>
    </row>
    <row r="193" spans="2:53" ht="45" customHeight="1" thickBot="1" x14ac:dyDescent="0.3">
      <c r="B193" s="732" t="s">
        <v>255</v>
      </c>
      <c r="C193" s="732"/>
      <c r="D193" s="732"/>
      <c r="E193" s="732"/>
      <c r="F193" s="732"/>
      <c r="G193" s="732"/>
      <c r="H193" s="732"/>
      <c r="I193" s="732"/>
      <c r="J193" s="354"/>
      <c r="K193" s="354"/>
      <c r="L193" s="354"/>
      <c r="M193" s="354"/>
      <c r="N193" s="354"/>
      <c r="O193" s="354"/>
      <c r="P193" s="354"/>
      <c r="Q193" s="354"/>
      <c r="R193" s="354"/>
      <c r="S193" s="354"/>
      <c r="T193" s="361">
        <f>ROUND(SUM(T177:T181,T182:T192),0)</f>
        <v>0</v>
      </c>
      <c r="U193" s="361">
        <f>ROUND(SUM(U177:U181,U182:U192),0)</f>
        <v>0</v>
      </c>
      <c r="V193" s="361">
        <f>ROUND(SUM(V177:V181,V182:V192),0)</f>
        <v>0</v>
      </c>
      <c r="W193" s="361">
        <f>ROUND(SUM(W177:W181,W182:W192),0)</f>
        <v>0</v>
      </c>
      <c r="X193" s="361">
        <f>ROUND(SUM(X177:X181,X182:X192),0)</f>
        <v>0</v>
      </c>
      <c r="Y193" s="557">
        <f>ROUND(SUM(MatSupTOT,Y182:Y192),0)</f>
        <v>0</v>
      </c>
      <c r="Z193" s="561">
        <f>OtherDirCostsTOT+AF193</f>
        <v>0</v>
      </c>
      <c r="AA193" s="578">
        <f>SUM(AA177:AA192)</f>
        <v>0</v>
      </c>
      <c r="AB193" s="449">
        <f>SUM(AB177:AB192)</f>
        <v>0</v>
      </c>
      <c r="AC193" s="449">
        <f>SUM(AC177:AC192)</f>
        <v>0</v>
      </c>
      <c r="AD193" s="449">
        <f>SUM(AD177:AD192)</f>
        <v>0</v>
      </c>
      <c r="AE193" s="449">
        <f>SUM(AE177:AE192)</f>
        <v>0</v>
      </c>
      <c r="AF193" s="451">
        <f t="shared" si="116"/>
        <v>0</v>
      </c>
      <c r="AG193" s="404"/>
      <c r="AH193" s="704" t="s">
        <v>255</v>
      </c>
      <c r="AI193" s="704"/>
      <c r="AJ193" s="704"/>
      <c r="AK193" s="704"/>
      <c r="AL193" s="704"/>
      <c r="AM193" s="704"/>
      <c r="AN193" s="704"/>
      <c r="AO193" s="704"/>
      <c r="AP193" s="704"/>
      <c r="AQ193" s="704"/>
      <c r="AR193" s="704"/>
      <c r="AS193" s="704"/>
      <c r="AT193" s="704"/>
      <c r="AU193" s="704"/>
      <c r="AV193" s="704"/>
      <c r="AW193" s="704"/>
      <c r="AX193" s="704"/>
      <c r="AY193" s="704"/>
      <c r="AZ193" s="705"/>
    </row>
    <row r="194" spans="2:53" ht="47.25" customHeight="1" thickBot="1" x14ac:dyDescent="0.35">
      <c r="B194" s="753" t="s">
        <v>256</v>
      </c>
      <c r="C194" s="753"/>
      <c r="D194" s="753"/>
      <c r="E194" s="753"/>
      <c r="F194" s="753"/>
      <c r="G194" s="753"/>
      <c r="H194" s="753"/>
      <c r="I194" s="753"/>
      <c r="J194" s="753"/>
      <c r="K194" s="753"/>
      <c r="L194" s="753"/>
      <c r="M194" s="753"/>
      <c r="N194" s="753"/>
      <c r="O194" s="753"/>
      <c r="P194" s="753"/>
      <c r="Q194" s="753"/>
      <c r="R194" s="753"/>
      <c r="S194" s="753"/>
      <c r="T194" s="753"/>
      <c r="U194" s="753"/>
      <c r="V194" s="753"/>
      <c r="W194" s="753"/>
      <c r="X194" s="753"/>
      <c r="Y194" s="754"/>
      <c r="Z194" s="561"/>
      <c r="AA194" s="660" t="s">
        <v>257</v>
      </c>
      <c r="AB194" s="660"/>
      <c r="AC194" s="660"/>
      <c r="AD194" s="660"/>
      <c r="AE194" s="660"/>
      <c r="AF194" s="660"/>
      <c r="AG194" s="660"/>
      <c r="AH194" s="660"/>
      <c r="AI194" s="660"/>
      <c r="AJ194" s="660"/>
      <c r="AK194" s="660"/>
      <c r="AL194" s="660"/>
      <c r="AM194" s="660"/>
      <c r="AN194" s="660"/>
      <c r="AO194" s="660"/>
      <c r="AP194" s="660"/>
      <c r="AQ194" s="660"/>
      <c r="AR194" s="660"/>
      <c r="AS194" s="660"/>
      <c r="AT194" s="660"/>
      <c r="AU194" s="660"/>
      <c r="AV194" s="660"/>
      <c r="AW194" s="660"/>
      <c r="AX194" s="660"/>
      <c r="AY194" s="660"/>
      <c r="AZ194" s="660"/>
    </row>
    <row r="195" spans="2:53" ht="32.25" customHeight="1" thickTop="1" x14ac:dyDescent="0.3">
      <c r="B195" s="4"/>
      <c r="C195" s="332" t="s">
        <v>258</v>
      </c>
      <c r="D195" s="49" t="s">
        <v>259</v>
      </c>
      <c r="E195" s="755"/>
      <c r="F195" s="755"/>
      <c r="G195" s="755"/>
      <c r="H195" s="755"/>
      <c r="I195" s="755"/>
      <c r="J195" s="755"/>
      <c r="K195" s="755"/>
      <c r="L195" s="755"/>
      <c r="M195" s="755"/>
      <c r="N195" s="755"/>
      <c r="O195" s="755"/>
      <c r="P195" s="755"/>
      <c r="Q195" s="158"/>
      <c r="R195" s="158"/>
      <c r="S195" s="158"/>
      <c r="T195" s="277"/>
      <c r="U195" s="277"/>
      <c r="V195" s="277"/>
      <c r="W195" s="277"/>
      <c r="X195" s="277"/>
      <c r="Y195" s="73">
        <f t="shared" ref="Y195:Y204" si="119">SUM(T195:X195)</f>
        <v>0</v>
      </c>
      <c r="Z195" s="561">
        <f t="shared" ref="Z195:Z206" si="120">Y195+AF195</f>
        <v>0</v>
      </c>
      <c r="AA195" s="278"/>
      <c r="AB195" s="277"/>
      <c r="AC195" s="277"/>
      <c r="AD195" s="277"/>
      <c r="AE195" s="277"/>
      <c r="AF195" s="258">
        <f t="shared" ref="AF195:AF204" si="121">SUM(AA195:AE195)</f>
        <v>0</v>
      </c>
      <c r="AH195" s="603" t="s">
        <v>258</v>
      </c>
      <c r="AI195" s="49" t="s">
        <v>259</v>
      </c>
      <c r="AJ195" s="22"/>
      <c r="AK195" s="22"/>
      <c r="AL195" s="22"/>
      <c r="AV195" s="22"/>
      <c r="AW195" s="22"/>
      <c r="AX195" s="22"/>
      <c r="AY195" s="22"/>
      <c r="AZ195" s="151"/>
    </row>
    <row r="196" spans="2:53" ht="33" customHeight="1" thickBot="1" x14ac:dyDescent="0.3">
      <c r="B196" s="4"/>
      <c r="C196" s="77"/>
      <c r="D196" s="78" t="s">
        <v>260</v>
      </c>
      <c r="E196" s="717" t="s">
        <v>261</v>
      </c>
      <c r="F196" s="717"/>
      <c r="G196" s="717"/>
      <c r="H196" s="717"/>
      <c r="I196" s="717"/>
      <c r="J196" s="717"/>
      <c r="K196" s="717"/>
      <c r="L196" s="717"/>
      <c r="M196" s="717"/>
      <c r="N196" s="717"/>
      <c r="O196" s="717"/>
      <c r="P196" s="717"/>
      <c r="Q196" s="157"/>
      <c r="R196" s="157"/>
      <c r="S196" s="157"/>
      <c r="T196" s="75">
        <f>IF(Sub1Yr1 &gt; 25000, Sub1Yr1-25000, 0)</f>
        <v>0</v>
      </c>
      <c r="U196" s="75">
        <f>IF(ExclSub1Yr1 &gt; 0, Sub1Yr2, IF(Sub1Yr1 + Sub1Yr2 &gt; 25000, Sub1Yr1 + Sub1Yr2 - 25000, 0))</f>
        <v>0</v>
      </c>
      <c r="V196" s="75">
        <f>IF((ExclSub1Yr1 + ExclSub1Yr2) &gt; 0, Sub1Yr3, IF(Sub1Yr1 + Sub1Yr2 + Sub1Yr3 &gt; 25000, Sub1Yr1 + Sub1Yr2 + Sub1Yr3 - 25000, 0))</f>
        <v>0</v>
      </c>
      <c r="W196" s="75">
        <f>IF((ExclSub1Yr1+ExclSub1Yr2+ExclSub1Yr3) &gt; 0,Sub1Yr4, IF(Sub1Yr1+Sub1Yr2+Sub1Yr3 + Sub1Yr4 &gt; 25000, Sub1Yr1+Sub1Yr2+Sub1Yr3+ Sub1Yr4 - 25000, 0))</f>
        <v>0</v>
      </c>
      <c r="X196" s="334">
        <f>IF((ExclSub1Yr1 + ExclSub1Yr2 + ExclSub1Yr3 + ExclSub1Yr4) &gt; 0, Sub1Yr5, IF(Sub1Yr1 + Sub1Yr2 + Sub1Yr3+ Sub1Yr4 + Sub1Yr5 &gt; 25000, Sub1Yr1 + Sub1Yr2 + Sub1Yr3 + Sub1Yr4 + Sub1Yr5 - 25000, 0))</f>
        <v>0</v>
      </c>
      <c r="Y196" s="76">
        <f t="shared" si="119"/>
        <v>0</v>
      </c>
      <c r="Z196" s="561">
        <f t="shared" si="120"/>
        <v>0</v>
      </c>
      <c r="AA196" s="579">
        <f>IF(CSSub1Yr1 &gt; 25000, CSSub1Yr1 - 25000, 0)</f>
        <v>0</v>
      </c>
      <c r="AB196" s="253">
        <f>IF(ExclCSSub1Yr1 &gt; 0,CSSub1Yr2, IF(CSSub1Yr1 + CSSub1Yr2 &gt; 25000, CSSub1Yr1 + CSSub1Yr2 - 25000, 0))</f>
        <v>0</v>
      </c>
      <c r="AC196" s="253">
        <f>IF((ExclCSSub1Yr1 + ExclCSSub1Yr2) &gt; 0,CSSub1Yr3, IF(CSSub1Yr1 + CSSub1Yr2 + CSSub1Yr3 &gt; 25000, CSSub1Yr1 + CSSub1Yr2 + CSSub1Yr3 - 25000,0))</f>
        <v>0</v>
      </c>
      <c r="AD196" s="253">
        <f>IF((ExclCSSub1Yr1 + ExclCSSub1Yr2 + ExclCSSub1Yr3) &gt; 0, CSSub1Yr4, IF(CSSub1Yr1 + CSSub1Yr2 + CSSub1Yr3 + CSSub1Yr4 &gt; 25000, CSSub1Yr1 + CSSub1Yr2 + CSSub1Yr3 + CSSub1Yr4 - 25000, 0))</f>
        <v>0</v>
      </c>
      <c r="AE196" s="253">
        <f>IF((ExclCSSub1Yr1 + ExclCSSub1Yr2 + ExclCSSub1Yr3 + ExclCSSub1Yr4) &gt; 0, CSSub1Yr5, IF(CSSub1Yr1 + CSSub1Yr2 + CSSub1Yr3 + CSSub1Yr4 + CSSub1Yr5 &gt; 25000, CSSub1Yr1 + CSSub1Yr2 + CSSub1Yr3 + CSSub1Yr4 + CSSub1Yr5 - 25000, 0))</f>
        <v>0</v>
      </c>
      <c r="AF196" s="254">
        <f t="shared" si="121"/>
        <v>0</v>
      </c>
      <c r="AH196" s="80"/>
      <c r="AI196" s="78" t="s">
        <v>260</v>
      </c>
      <c r="AJ196" s="81"/>
      <c r="AK196" s="637" t="s">
        <v>261</v>
      </c>
      <c r="AL196" s="637"/>
      <c r="AM196" s="637"/>
      <c r="AN196" s="637"/>
      <c r="AO196" s="637"/>
      <c r="AP196" s="637"/>
      <c r="AQ196" s="637"/>
      <c r="AR196" s="143"/>
      <c r="AS196" s="143"/>
      <c r="AV196" s="22"/>
      <c r="AW196" s="22"/>
      <c r="AX196" s="22"/>
      <c r="AY196" s="22"/>
      <c r="AZ196" s="151"/>
    </row>
    <row r="197" spans="2:53" ht="33" hidden="1" customHeight="1" outlineLevel="1" x14ac:dyDescent="0.3">
      <c r="B197" s="5"/>
      <c r="C197" s="333" t="s">
        <v>262</v>
      </c>
      <c r="D197" s="49" t="s">
        <v>259</v>
      </c>
      <c r="E197" s="716"/>
      <c r="F197" s="716"/>
      <c r="G197" s="716"/>
      <c r="H197" s="716"/>
      <c r="I197" s="716"/>
      <c r="J197" s="716"/>
      <c r="K197" s="716"/>
      <c r="L197" s="716"/>
      <c r="M197" s="716"/>
      <c r="N197" s="716"/>
      <c r="O197" s="716"/>
      <c r="P197" s="716"/>
      <c r="Q197" s="156"/>
      <c r="R197" s="156"/>
      <c r="S197" s="156"/>
      <c r="T197" s="282"/>
      <c r="U197" s="282"/>
      <c r="V197" s="282"/>
      <c r="W197" s="329"/>
      <c r="X197" s="335"/>
      <c r="Y197" s="330">
        <f t="shared" si="119"/>
        <v>0</v>
      </c>
      <c r="Z197" s="561">
        <f t="shared" si="120"/>
        <v>0</v>
      </c>
      <c r="AA197" s="278"/>
      <c r="AB197" s="277"/>
      <c r="AC197" s="277"/>
      <c r="AD197" s="277"/>
      <c r="AE197" s="277"/>
      <c r="AF197" s="258">
        <f t="shared" si="121"/>
        <v>0</v>
      </c>
      <c r="AH197" s="602" t="s">
        <v>262</v>
      </c>
      <c r="AI197" s="49" t="s">
        <v>259</v>
      </c>
      <c r="AJ197" s="22"/>
      <c r="AK197" s="22"/>
      <c r="AL197" s="22"/>
      <c r="AV197" s="22"/>
      <c r="AW197" s="22"/>
      <c r="AX197" s="22"/>
      <c r="AY197" s="22"/>
      <c r="AZ197" s="151"/>
    </row>
    <row r="198" spans="2:53" ht="32.25" hidden="1" customHeight="1" outlineLevel="1" thickBot="1" x14ac:dyDescent="0.3">
      <c r="B198" s="5"/>
      <c r="C198" s="79"/>
      <c r="D198" s="78" t="s">
        <v>260</v>
      </c>
      <c r="E198" s="717" t="s">
        <v>261</v>
      </c>
      <c r="F198" s="717"/>
      <c r="G198" s="717"/>
      <c r="H198" s="717"/>
      <c r="I198" s="717"/>
      <c r="J198" s="717"/>
      <c r="K198" s="717"/>
      <c r="L198" s="717"/>
      <c r="M198" s="717"/>
      <c r="N198" s="717"/>
      <c r="O198" s="717"/>
      <c r="P198" s="717"/>
      <c r="Q198" s="157"/>
      <c r="R198" s="157"/>
      <c r="S198" s="157"/>
      <c r="T198" s="75">
        <f>IF(Sub2Yr1 &gt; 25000, Sub2Yr1 - 25000, 0)</f>
        <v>0</v>
      </c>
      <c r="U198" s="75">
        <f>IF(ExclSub2Yr1&gt;0,Sub2Yr2,IF(Sub2Yr1+Sub2Yr2&gt;25000,Sub2Yr1+Sub2Yr2-25000,0))</f>
        <v>0</v>
      </c>
      <c r="V198" s="75">
        <f>IF(ExclSub2Yr1 + ExclSub2Yr2 &gt; 0, Sub2Yr3, IF(Sub2Yr1 + Sub2Yr2 + Sub2Yr3 &gt; 25000, Sub2Yr1 + Sub2Yr2 + Sub2Yr3 - 25000, 0))</f>
        <v>0</v>
      </c>
      <c r="W198" s="75">
        <f>IF((ExclSub2Yr1 + ExclSub2Yr2 + ExclSub2Yr3) &gt; 0, Sub2Yr4, IF(Sub2Yr1 + Sub2Yr2 + Sub2Yr3 + Sub2Yr4 &gt; 25000, Sub2Yr1 + Sub2Yr2 + Sub2Yr3 + Sub2Yr4 - 25000, 0))</f>
        <v>0</v>
      </c>
      <c r="X198" s="331">
        <f>IF((ExclSub2Yr1 + ExclSub2Yr2 + ExclSub2Yr3 + ExclSub2Yr4) &gt; 0, Sub2Yr5, IF(Sub2Yr1 + Sub2Yr2 + Sub2Yr3+ Sub2Yr4 + Sub2Yr5 &gt; 25000, Sub2Yr1 + Sub2Yr2 + Sub2Yr3 + Sub2Yr4 + Sub2Yr5 - 25000, 0))</f>
        <v>0</v>
      </c>
      <c r="Y198" s="76">
        <f t="shared" si="119"/>
        <v>0</v>
      </c>
      <c r="Z198" s="561">
        <f t="shared" si="120"/>
        <v>0</v>
      </c>
      <c r="AA198" s="579">
        <f>IF(CSSub2Yr1 &gt; 25000, CSSub2Yr1 - 25000, 0)</f>
        <v>0</v>
      </c>
      <c r="AB198" s="253">
        <f>IF(ExclCSSub2Yr1 &gt; 0,CSSub2Yr2, IF(CSSub2Yr1 + CSSub2Yr2 &gt; 25000, CSSub2Yr1 + CSSub2Yr2 - 25000,0))</f>
        <v>0</v>
      </c>
      <c r="AC198" s="253">
        <f>IF((ExclCSSub2Yr1 + ExclCSSub2Yr2) &gt; 0,CSSub2Yr3, IF(CSSub2Yr1 + CSSub2Yr2 + CSSub2Yr3 &gt; 25000, CSSub2Yr1 + CSSub2Yr2 + CSSub2Yr3 - 25000, 0))</f>
        <v>0</v>
      </c>
      <c r="AD198" s="253">
        <f>IF((ExclCSSub2Yr1 + ExclCSSub2Yr2 + ExclCSSub2Yr3) &gt; 0, CSSub2Yr4, IF(CSSub2Yr1 + CSSub2Yr2 + CSSub2Yr3 + CSSub2Yr4 &gt; 25000, CSSub2Yr1 + CSSub2Yr2 + CSSub2Yr3 + CSSub2Yr4 - 25000, 0))</f>
        <v>0</v>
      </c>
      <c r="AE198" s="253">
        <f>IF((ExclCSSub2Yr1 + ExclCSSub2Yr2 + ExclCSSub2Yr3 + ExclCSSub2Yr4) &gt; 0, CSSub2Yr5, IF(CSSub2Yr1 + CSSub2Yr2 + CSSub2Yr3 + CSSub2Yr4 + CSSub2Yr5 &gt; 25000, CSSub2Yr1 + CSSub2Yr2 + CSSub2Yr3 + CSSub2Yr4 + CSSub2Yr5 - 25000, 0))</f>
        <v>0</v>
      </c>
      <c r="AF198" s="254">
        <f t="shared" si="121"/>
        <v>0</v>
      </c>
      <c r="AH198" s="82"/>
      <c r="AI198" s="78" t="s">
        <v>260</v>
      </c>
      <c r="AJ198" s="81"/>
      <c r="AK198" s="637" t="s">
        <v>261</v>
      </c>
      <c r="AL198" s="637"/>
      <c r="AM198" s="637"/>
      <c r="AN198" s="637"/>
      <c r="AO198" s="637"/>
      <c r="AP198" s="637"/>
      <c r="AQ198" s="637"/>
      <c r="AR198" s="143"/>
      <c r="AS198" s="143"/>
      <c r="AV198" s="22"/>
      <c r="AW198" s="22"/>
      <c r="AX198" s="22"/>
      <c r="AY198" s="22"/>
      <c r="AZ198" s="151"/>
    </row>
    <row r="199" spans="2:53" ht="33" hidden="1" customHeight="1" outlineLevel="1" x14ac:dyDescent="0.3">
      <c r="B199" s="4"/>
      <c r="C199" s="332" t="s">
        <v>263</v>
      </c>
      <c r="D199" s="49" t="s">
        <v>259</v>
      </c>
      <c r="E199" s="718"/>
      <c r="F199" s="718"/>
      <c r="G199" s="718"/>
      <c r="H199" s="718"/>
      <c r="I199" s="718"/>
      <c r="J199" s="718"/>
      <c r="K199" s="718"/>
      <c r="L199" s="718"/>
      <c r="M199" s="718"/>
      <c r="N199" s="718"/>
      <c r="O199" s="718"/>
      <c r="P199" s="718"/>
      <c r="Q199" s="158"/>
      <c r="R199" s="158"/>
      <c r="S199" s="158"/>
      <c r="T199" s="282"/>
      <c r="U199" s="282"/>
      <c r="V199" s="282"/>
      <c r="W199" s="282"/>
      <c r="X199" s="282"/>
      <c r="Y199" s="74">
        <f t="shared" si="119"/>
        <v>0</v>
      </c>
      <c r="Z199" s="561">
        <f t="shared" si="120"/>
        <v>0</v>
      </c>
      <c r="AA199" s="278"/>
      <c r="AB199" s="277"/>
      <c r="AC199" s="277"/>
      <c r="AD199" s="277"/>
      <c r="AE199" s="277"/>
      <c r="AF199" s="258">
        <f t="shared" si="121"/>
        <v>0</v>
      </c>
      <c r="AH199" s="603" t="s">
        <v>263</v>
      </c>
      <c r="AI199" s="49" t="s">
        <v>259</v>
      </c>
      <c r="AJ199" s="22"/>
      <c r="AK199" s="22"/>
      <c r="AL199" s="22"/>
      <c r="AV199" s="22"/>
      <c r="AW199" s="22"/>
      <c r="AX199" s="22"/>
      <c r="AY199" s="22"/>
      <c r="AZ199" s="151"/>
    </row>
    <row r="200" spans="2:53" ht="33" hidden="1" customHeight="1" outlineLevel="1" thickBot="1" x14ac:dyDescent="0.3">
      <c r="B200" s="4"/>
      <c r="C200" s="77"/>
      <c r="D200" s="78" t="s">
        <v>260</v>
      </c>
      <c r="E200" s="717" t="s">
        <v>261</v>
      </c>
      <c r="F200" s="717"/>
      <c r="G200" s="717"/>
      <c r="H200" s="717"/>
      <c r="I200" s="717"/>
      <c r="J200" s="717"/>
      <c r="K200" s="717"/>
      <c r="L200" s="717"/>
      <c r="M200" s="717"/>
      <c r="N200" s="717"/>
      <c r="O200" s="717"/>
      <c r="P200" s="717"/>
      <c r="Q200" s="157"/>
      <c r="R200" s="157"/>
      <c r="S200" s="157"/>
      <c r="T200" s="75">
        <f>IF(Sub3Yr1 &gt; 25000, Sub3Yr1 - 25000, 0)</f>
        <v>0</v>
      </c>
      <c r="U200" s="75">
        <f>IF(ExclSub3Yr1 &gt; 0, Sub3Yr2, IF(Sub3Yr1 + Sub3Yr2 &gt; 25000, Sub3Yr1 + Sub3Yr2 - 25000, 0))</f>
        <v>0</v>
      </c>
      <c r="V200" s="75">
        <f>IF(ExclSub3Yr1 + ExclSub3Yr2 &gt; 0, Sub3Yr3, IF(Sub3Yr1 + Sub3Yr2 + Sub3Yr3 &gt; 25000, Sub3Yr1 + Sub3Yr2 + Sub3Yr3 - 25000, 0))</f>
        <v>0</v>
      </c>
      <c r="W200" s="75">
        <f>IF(( ExclSub3Yr1 + ExclSub3Yr2 + ExclSub3Yr3) &gt; 0, Sub3Yr4, IF(Sub3Yr1+ Sub3Yr2 + Sub3Yr3 + Sub3Yr4 &gt; 25000, Sub3Yr1 + Sub3Yr2 + Sub3Yr3 + Sub3Yr4 - 25000, 0))</f>
        <v>0</v>
      </c>
      <c r="X200" s="75">
        <f>IF((ExclSub3Yr1 + ExclSub3Yr2 + ExclSub3Yr3 + ExclSub3Yr4) &gt; 0, Sub3Yr5, IF(Sub3Yr1 + Sub3Yr2 + Sub3Yr3+ Sub3Yr4 + Sub3Yr5 &gt; 25000, Sub3Yr1 + Sub3Yr2 + Sub3Yr3 + Sub3Yr4 + Sub3Yr5 - 25000, 0))</f>
        <v>0</v>
      </c>
      <c r="Y200" s="76">
        <f t="shared" si="119"/>
        <v>0</v>
      </c>
      <c r="Z200" s="561">
        <f t="shared" si="120"/>
        <v>0</v>
      </c>
      <c r="AA200" s="580">
        <f>IF(CSSub3Yr1 &gt; 25000, CSSub3Yr1 - 25000, 0)</f>
        <v>0</v>
      </c>
      <c r="AB200" s="253">
        <f>IF(ExclCSSub3Yr1 &gt; 0, CSSub3Yr2, IF(CSSub3Yr1 + CSSub3Yr2 &gt; 25000, CSSub3Yr1 + CSSub3Yr2 - 25000,0))</f>
        <v>0</v>
      </c>
      <c r="AC200" s="253">
        <f>IF((ExclCSSub3Yr1 + ExclCSSub3Yr2) &gt; 0, CSSub3Yr3, IF(CSSub3Yr1 + CSSub3Yr2 + CSSub3Yr3 &gt; 25000, CSSub3Yr1 + CSSub3Yr2 + CSSub3Yr3 - 25000,0))</f>
        <v>0</v>
      </c>
      <c r="AD200" s="253">
        <f>IF((ExclCSSub3Yr1 + ExclCSSub3Yr2 + ExclCSSub3Yr3) &gt; 0, CSSub3Yr4, IF(CSSub3Yr1 + CSSub3Yr2 + CSSub3Yr3 + CSSub3Yr4 &gt; 25000, CSSub3Yr1 + CSSub3Yr2 + CSSub3Yr3 + CSSub3Yr4 - 25000, 0))</f>
        <v>0</v>
      </c>
      <c r="AE200" s="253">
        <f>IF((ExclCSSub3Yr1 + ExclCSSub3Yr2 + ExclCSSub3Yr3 + ExclCSSub3Yr4) &gt; 0, CSSub3Yr5, IF(CSSub3Yr1 + CSSub3Yr2 + CSSub3Yr3 + CSSub3Yr4 + CSSub3Yr5 &gt; 25000, CSSub3Yr1 + CSSub3Yr2 + CSSub3Yr3 + CSSub3Yr4 + CSSub3Yr5 - 25000, 0))</f>
        <v>0</v>
      </c>
      <c r="AF200" s="254">
        <f t="shared" si="121"/>
        <v>0</v>
      </c>
      <c r="AH200" s="80"/>
      <c r="AI200" s="78" t="s">
        <v>260</v>
      </c>
      <c r="AJ200" s="81"/>
      <c r="AK200" s="637" t="s">
        <v>261</v>
      </c>
      <c r="AL200" s="637"/>
      <c r="AM200" s="637"/>
      <c r="AN200" s="637"/>
      <c r="AO200" s="637"/>
      <c r="AP200" s="637"/>
      <c r="AQ200" s="637"/>
      <c r="AR200" s="143"/>
      <c r="AS200" s="143"/>
      <c r="AV200" s="22"/>
      <c r="AW200" s="22"/>
      <c r="AX200" s="22"/>
      <c r="AY200" s="22"/>
      <c r="AZ200" s="151"/>
    </row>
    <row r="201" spans="2:53" ht="33" hidden="1" customHeight="1" outlineLevel="1" x14ac:dyDescent="0.3">
      <c r="B201" s="5"/>
      <c r="C201" s="333" t="s">
        <v>264</v>
      </c>
      <c r="D201" s="49" t="s">
        <v>259</v>
      </c>
      <c r="E201" s="716"/>
      <c r="F201" s="716"/>
      <c r="G201" s="716"/>
      <c r="H201" s="716"/>
      <c r="I201" s="716"/>
      <c r="J201" s="716"/>
      <c r="K201" s="716"/>
      <c r="L201" s="716"/>
      <c r="M201" s="716"/>
      <c r="N201" s="716"/>
      <c r="O201" s="716"/>
      <c r="P201" s="716"/>
      <c r="Q201" s="156"/>
      <c r="R201" s="156"/>
      <c r="S201" s="156"/>
      <c r="T201" s="336"/>
      <c r="U201" s="336"/>
      <c r="V201" s="336"/>
      <c r="W201" s="336"/>
      <c r="X201" s="336"/>
      <c r="Y201" s="74">
        <f t="shared" si="119"/>
        <v>0</v>
      </c>
      <c r="Z201" s="561">
        <f t="shared" si="120"/>
        <v>0</v>
      </c>
      <c r="AA201" s="278"/>
      <c r="AB201" s="277"/>
      <c r="AC201" s="277"/>
      <c r="AD201" s="277"/>
      <c r="AE201" s="277"/>
      <c r="AF201" s="258">
        <f t="shared" si="121"/>
        <v>0</v>
      </c>
      <c r="AH201" s="602" t="s">
        <v>264</v>
      </c>
      <c r="AI201" s="49" t="s">
        <v>259</v>
      </c>
      <c r="AJ201" s="22"/>
      <c r="AK201" s="22"/>
      <c r="AL201" s="22"/>
      <c r="AV201" s="22"/>
      <c r="AW201" s="22"/>
      <c r="AX201" s="22"/>
      <c r="AY201" s="22"/>
      <c r="AZ201" s="151"/>
    </row>
    <row r="202" spans="2:53" ht="33" hidden="1" customHeight="1" outlineLevel="1" thickBot="1" x14ac:dyDescent="0.3">
      <c r="B202" s="5"/>
      <c r="C202" s="79"/>
      <c r="D202" s="78" t="s">
        <v>260</v>
      </c>
      <c r="E202" s="717" t="s">
        <v>261</v>
      </c>
      <c r="F202" s="717"/>
      <c r="G202" s="717"/>
      <c r="H202" s="717"/>
      <c r="I202" s="717"/>
      <c r="J202" s="717"/>
      <c r="K202" s="717"/>
      <c r="L202" s="717"/>
      <c r="M202" s="717"/>
      <c r="N202" s="717"/>
      <c r="O202" s="717"/>
      <c r="P202" s="717"/>
      <c r="Q202" s="157"/>
      <c r="R202" s="157"/>
      <c r="S202" s="157"/>
      <c r="T202" s="75">
        <f>IF(Sub4Yr1 &gt; 25000, Sub4Yr1 - 25000, 0)</f>
        <v>0</v>
      </c>
      <c r="U202" s="75">
        <f>IF(ExclSub4Yr1&gt;0,Sub4Yr2,IF(Sub4Yr1+Sub4Yr2&gt;25000,Sub4Yr1+Sub4Yr2-25000,0))</f>
        <v>0</v>
      </c>
      <c r="V202" s="75">
        <f>IF(ExclSub4Yr1 + ExclSub4Yr2 &gt; 0, Sub4Yr3, IF(Sub4Yr1 + Sub4Yr2 + Sub4Yr3 &gt; 25000, Sub4Yr1 + Sub4Yr2 + Sub4Yr3 - 25000, 0))</f>
        <v>0</v>
      </c>
      <c r="W202" s="75">
        <f>IF((ExclSub4Yr1 + ExclSub4Yr2 + ExclSub4Yr3) &gt; 0, Sub4Yr4, IF(Sub4Yr1 +Sub4Yr2 +Sub4Yr3 + Sub4Yr4 &gt; 25000, Sub4Yr1 + Sub4Yr2 + Sub4Yr3 + Sub4Yr4 - 25000, 0))</f>
        <v>0</v>
      </c>
      <c r="X202" s="75">
        <f>IF((ExclSub4Yr1 + ExclSub4Yr2 + ExclSub4Yr3 + ExclSub4Yr4) &gt; 0, Sub4Yr5, IF(Sub4Yr1 + Sub4Yr2 + Sub4Yr3+ Sub4Yr4 + Sub4Yr5 &gt; 25000, Sub4Yr1 + Sub4Yr2 + Sub4Yr3 + Sub4Yr4 + Sub4Yr5 - 25000, 0))</f>
        <v>0</v>
      </c>
      <c r="Y202" s="76">
        <f t="shared" si="119"/>
        <v>0</v>
      </c>
      <c r="Z202" s="561">
        <f t="shared" si="120"/>
        <v>0</v>
      </c>
      <c r="AA202" s="579">
        <f>IF(CSSub4Yr1 &gt; 25000, CSSub4Yr1 - 25000, 0)</f>
        <v>0</v>
      </c>
      <c r="AB202" s="253">
        <f>IF(ExclCSSub4Yr1 &gt; 0,CSSub4Yr2, IF(CSSub4Yr1 + CSSub4Yr2 &gt; 25000, CSSub4Yr1 + CSSub4Yr2 - 25000,0))</f>
        <v>0</v>
      </c>
      <c r="AC202" s="253">
        <f>IF((ExclCSSub4Yr1 + ExclCSSub4Yr2) &gt; 0, CSSub4Yr3,IF(CSSub4Yr1 + CSSub4Yr2 + CSSub4Yr3 &gt; 25000, CSSub4Yr1 + CSSub4Yr2 + CSSub4Yr3 - 25000,0))</f>
        <v>0</v>
      </c>
      <c r="AD202" s="253">
        <f>IF((ExclCSSub4Yr1 + ExclCSSub4Yr2 + ExclCSSub4Yr3) &gt; 0, CSSub4Yr4, IF(CSSub4Yr1 + CSSub4Yr2 + CSSub4Yr3 + CSSub4Yr4 &gt; 25000, CSSub4Yr1 + CSSub4Yr2 + CSSub4Yr3 + CSSub4Yr4 - 25000, 0))</f>
        <v>0</v>
      </c>
      <c r="AE202" s="253">
        <f>IF((ExclCSSub4Yr1 + ExclCSSub4Yr2 + ExclCSSub4Yr3 + ExclCSSub4Yr4) &gt; 0, CSSub4Yr5, IF(CSSub4Yr1 + CSSub4Yr2 + CSSub4Yr3 + CSSub4Yr4 + CSSub4Yr5 &gt; 25000, CSSub4Yr1 + CSSub4Yr2 + CSSub4Yr3 + CSSub4Yr4 + CSSub4Yr5 - 25000, 0))</f>
        <v>0</v>
      </c>
      <c r="AF202" s="254">
        <f t="shared" si="121"/>
        <v>0</v>
      </c>
      <c r="AH202" s="82"/>
      <c r="AI202" s="78" t="s">
        <v>260</v>
      </c>
      <c r="AJ202" s="81"/>
      <c r="AK202" s="637" t="s">
        <v>261</v>
      </c>
      <c r="AL202" s="637"/>
      <c r="AM202" s="637"/>
      <c r="AN202" s="637"/>
      <c r="AO202" s="637"/>
      <c r="AP202" s="637"/>
      <c r="AQ202" s="637"/>
      <c r="AR202" s="143"/>
      <c r="AS202" s="143"/>
      <c r="AV202" s="22"/>
      <c r="AW202" s="22"/>
      <c r="AX202" s="22"/>
      <c r="AY202" s="22"/>
      <c r="AZ202" s="151"/>
    </row>
    <row r="203" spans="2:53" ht="33" hidden="1" customHeight="1" outlineLevel="1" x14ac:dyDescent="0.3">
      <c r="B203" s="4"/>
      <c r="C203" s="332" t="s">
        <v>265</v>
      </c>
      <c r="D203" s="49" t="s">
        <v>259</v>
      </c>
      <c r="E203" s="718"/>
      <c r="F203" s="718"/>
      <c r="G203" s="718"/>
      <c r="H203" s="718"/>
      <c r="I203" s="718"/>
      <c r="J203" s="718"/>
      <c r="K203" s="718"/>
      <c r="L203" s="718"/>
      <c r="M203" s="718"/>
      <c r="N203" s="718"/>
      <c r="O203" s="718"/>
      <c r="P203" s="718"/>
      <c r="Q203" s="158"/>
      <c r="R203" s="158"/>
      <c r="S203" s="158"/>
      <c r="T203" s="336"/>
      <c r="U203" s="336"/>
      <c r="V203" s="336"/>
      <c r="W203" s="336"/>
      <c r="X203" s="336"/>
      <c r="Y203" s="74">
        <f t="shared" si="119"/>
        <v>0</v>
      </c>
      <c r="Z203" s="561">
        <f t="shared" si="120"/>
        <v>0</v>
      </c>
      <c r="AA203" s="278"/>
      <c r="AB203" s="277"/>
      <c r="AC203" s="277"/>
      <c r="AD203" s="277"/>
      <c r="AE203" s="277"/>
      <c r="AF203" s="258">
        <f t="shared" si="121"/>
        <v>0</v>
      </c>
      <c r="AH203" s="603" t="s">
        <v>265</v>
      </c>
      <c r="AI203" s="49" t="s">
        <v>259</v>
      </c>
      <c r="AJ203" s="22"/>
      <c r="AK203" s="22"/>
      <c r="AL203" s="22"/>
      <c r="AV203" s="22"/>
      <c r="AW203" s="22"/>
      <c r="AX203" s="22"/>
      <c r="AY203" s="22"/>
      <c r="AZ203" s="151"/>
    </row>
    <row r="204" spans="2:53" ht="33" hidden="1" customHeight="1" outlineLevel="1" thickBot="1" x14ac:dyDescent="0.3">
      <c r="B204" s="4"/>
      <c r="C204" s="77"/>
      <c r="D204" s="78" t="s">
        <v>260</v>
      </c>
      <c r="E204" s="717" t="s">
        <v>261</v>
      </c>
      <c r="F204" s="717"/>
      <c r="G204" s="717"/>
      <c r="H204" s="717"/>
      <c r="I204" s="717"/>
      <c r="J204" s="717"/>
      <c r="K204" s="717"/>
      <c r="L204" s="717"/>
      <c r="M204" s="717"/>
      <c r="N204" s="717"/>
      <c r="O204" s="717"/>
      <c r="P204" s="717"/>
      <c r="Q204" s="157"/>
      <c r="R204" s="157"/>
      <c r="S204" s="157"/>
      <c r="T204" s="75">
        <f>IF(Sub5Yr1 &gt; 25000, Sub5Yr1 - 25000, 0)</f>
        <v>0</v>
      </c>
      <c r="U204" s="75">
        <f>IF(ExclSub5Yr1&gt;0,Sub5Yr2,IF(Sub5Yr1+Sub5Yr2&gt;25000,Sub5Yr1+Sub5Yr2-25000,0))</f>
        <v>0</v>
      </c>
      <c r="V204" s="75">
        <f>IF(ExclSub5Yr1 + ExclSub5Yr2 &gt; 0, Sub5Yr3, IF(Sub5Yr1 + Sub5Yr2 + Sub5Yr3 &gt; 25000, Sub5Yr1 + Sub5Yr2 + Sub5Yr3 - 25000, 0))</f>
        <v>0</v>
      </c>
      <c r="W204" s="75">
        <f>IF((ExclSub5Yr1 + ExclSub5Yr2 + ExclSub5Yr3) &gt; 0, Sub5Yr4, IF(Sub5Yr1 + Sub5Yr2 + Sub5Yr3 + Sub5Yr4 &gt; 25000, Sub5Yr1 + Sub5Yr2 + Sub5Yr3 + Sub5Yr4 - 25000, 0))</f>
        <v>0</v>
      </c>
      <c r="X204" s="75">
        <f>IF((ExclSub5Yr1 + ExclSub5Yr2 + ExclSub5Yr3 + ExclSub5Yr4) &gt; 0, Sub5Yr5, IF(Sub5Yr1 + Sub5Yr2 + Sub5Yr3+ Sub5Yr4 + Sub5Yr5 &gt; 25000, Sub5Yr1 + Sub5Yr2 + Sub5Yr3 + Sub5Yr4 + Sub5Yr5 - 25000, 0))</f>
        <v>0</v>
      </c>
      <c r="Y204" s="76">
        <f t="shared" si="119"/>
        <v>0</v>
      </c>
      <c r="Z204" s="561">
        <f t="shared" si="120"/>
        <v>0</v>
      </c>
      <c r="AA204" s="580">
        <f>IF(CSSub5Yr1 &gt; 25000, CSSub5Yr1 - 25000, 0)</f>
        <v>0</v>
      </c>
      <c r="AB204" s="253">
        <f>IF(ExclCSSub5Yr1 &gt; 0, CSSub5Yr2, IF(CSSub5Yr1 + CSSub5Yr2 &gt; 25000, CSSub5Yr1 + CSSub5Yr2 - 25000, 0))</f>
        <v>0</v>
      </c>
      <c r="AC204" s="253">
        <f>IF((ExclCSSub5Yr1 + ExclCSSub5Yr2) &gt; 0, CSSub5Yr3, IF(CSSub5Yr1 + CSSub5Yr2 + CSSub5Yr3 &gt; 25000, CSSub5Yr1 + CSSub5Yr2 + CSSub5Yr3 - 25000,0))</f>
        <v>0</v>
      </c>
      <c r="AD204" s="253">
        <f>IF((ExclCSSub5Yr1 + ExclCSSub5Yr2 + ExclCSSub5Yr3) &gt; 0, CSSub5Yr4, IF(CSSub5Yr1 + CSSub5Yr2 + CSSub5Yr3 + CSSub5Yr4 &gt; 25000, CSSub5Yr1 + CSSub5Yr2 + CSSub5Yr3 + CSSub5Yr4 - 25000, 0))</f>
        <v>0</v>
      </c>
      <c r="AE204" s="253">
        <f>IF((ExclCSSub5Yr1 + ExclCSSub5Yr2 + ExclCSSub5Yr3 + ExclCSSub5Yr4) &gt; 0, CSSub5Yr5, IF(CSSub5Yr1 + CSSub5Yr2 + CSSub5Yr3 + CSSub5Yr4 + CSSub5Yr5 &gt; 25000, CSSub5Yr1 + CSSub5Yr2 + CSSub5Yr3 + CSSub5Yr4 + CSSub5Yr5 - 25000, 0))</f>
        <v>0</v>
      </c>
      <c r="AF204" s="254">
        <f t="shared" si="121"/>
        <v>0</v>
      </c>
      <c r="AH204" s="80"/>
      <c r="AI204" s="78" t="s">
        <v>260</v>
      </c>
      <c r="AJ204" s="81"/>
      <c r="AK204" s="637" t="s">
        <v>261</v>
      </c>
      <c r="AL204" s="637"/>
      <c r="AM204" s="637"/>
      <c r="AN204" s="637"/>
      <c r="AO204" s="637"/>
      <c r="AP204" s="637"/>
      <c r="AQ204" s="637"/>
      <c r="AR204" s="143"/>
      <c r="AS204" s="143"/>
      <c r="AV204" s="22"/>
      <c r="AW204" s="22"/>
      <c r="AX204" s="22"/>
      <c r="AY204" s="22"/>
      <c r="AZ204" s="151"/>
    </row>
    <row r="205" spans="2:53" ht="38.25" customHeight="1" collapsed="1" thickBot="1" x14ac:dyDescent="0.3">
      <c r="B205" s="767" t="s">
        <v>266</v>
      </c>
      <c r="C205" s="767"/>
      <c r="D205" s="767"/>
      <c r="E205" s="767"/>
      <c r="F205" s="767"/>
      <c r="G205" s="767"/>
      <c r="H205" s="767"/>
      <c r="I205" s="767"/>
      <c r="J205" s="365"/>
      <c r="K205" s="365"/>
      <c r="L205" s="365"/>
      <c r="M205" s="365"/>
      <c r="N205" s="365"/>
      <c r="O205" s="365"/>
      <c r="P205" s="365"/>
      <c r="Q205" s="365"/>
      <c r="R205" s="365"/>
      <c r="S205" s="365"/>
      <c r="T205" s="366">
        <f>ROUND(SUM(T195,T197,T199,T201,T203),0)</f>
        <v>0</v>
      </c>
      <c r="U205" s="366">
        <f>ROUND(SUM(U195,U197,U199,U201,U203),0)</f>
        <v>0</v>
      </c>
      <c r="V205" s="366">
        <f>ROUND(SUM(V195,V197,V199,V201,V203),0)</f>
        <v>0</v>
      </c>
      <c r="W205" s="366">
        <f>ROUND(SUM(W195,W197,W199,W201,W203),0)</f>
        <v>0</v>
      </c>
      <c r="X205" s="366">
        <f>ROUND(SUM(X195,X197,X199,X201,X203),0)</f>
        <v>0</v>
      </c>
      <c r="Y205" s="555">
        <f>ROUND(SUM(SubAwrdTtl1, SubAwrdTtl2, SubAwrdTtl3, SubAwrdTtl4, SubAwrdTtl5),0)</f>
        <v>0</v>
      </c>
      <c r="Z205" s="561">
        <f t="shared" si="120"/>
        <v>0</v>
      </c>
      <c r="AA205" s="401">
        <f t="shared" ref="AA205:AC205" si="122">SUM(AA195,AA197,AA199,AA201,AA203)</f>
        <v>0</v>
      </c>
      <c r="AB205" s="401">
        <f t="shared" si="122"/>
        <v>0</v>
      </c>
      <c r="AC205" s="401">
        <f t="shared" si="122"/>
        <v>0</v>
      </c>
      <c r="AD205" s="401">
        <f>SUM(AD195,AD197,AD199,AD201,AD203)</f>
        <v>0</v>
      </c>
      <c r="AE205" s="401">
        <f>SUM(AE195,AE197,AE199,AE201,AE203)</f>
        <v>0</v>
      </c>
      <c r="AF205" s="402">
        <f>SUM(AF195,AF197,AF199,AF201,AF203)</f>
        <v>0</v>
      </c>
      <c r="AG205" s="403"/>
      <c r="AH205" s="824" t="s">
        <v>266</v>
      </c>
      <c r="AI205" s="824"/>
      <c r="AJ205" s="824"/>
      <c r="AK205" s="824"/>
      <c r="AL205" s="824"/>
      <c r="AM205" s="824"/>
      <c r="AN205" s="824"/>
      <c r="AO205" s="824"/>
      <c r="AP205" s="824"/>
      <c r="AQ205" s="824"/>
      <c r="AR205" s="824"/>
      <c r="AS205" s="824"/>
      <c r="AT205" s="824"/>
      <c r="AU205" s="824"/>
      <c r="AV205" s="824"/>
      <c r="AW205" s="824"/>
      <c r="AX205" s="824"/>
      <c r="AY205" s="824"/>
      <c r="AZ205" s="825"/>
      <c r="BA205" s="28"/>
    </row>
    <row r="206" spans="2:53" ht="42" customHeight="1" x14ac:dyDescent="0.25">
      <c r="B206" s="779" t="s">
        <v>267</v>
      </c>
      <c r="C206" s="779"/>
      <c r="D206" s="779"/>
      <c r="E206" s="779"/>
      <c r="F206" s="779"/>
      <c r="G206" s="779"/>
      <c r="H206" s="779"/>
      <c r="I206" s="779"/>
      <c r="J206" s="363"/>
      <c r="K206" s="363"/>
      <c r="L206" s="363"/>
      <c r="M206" s="363"/>
      <c r="N206" s="363"/>
      <c r="O206" s="363"/>
      <c r="P206" s="363"/>
      <c r="Q206" s="363"/>
      <c r="R206" s="363"/>
      <c r="S206" s="363"/>
      <c r="T206" s="364">
        <f>ROUND(SrSalary1 + OtherPersonnnelSalary1 + SrFringe1 + Oth.PerBenefitsTuition1 + Equip1 + Travel1 + PSCYr1+OtherDirCosts1 + SubAwrdTtl1,0)</f>
        <v>0</v>
      </c>
      <c r="U206" s="364">
        <f>ROUND(SrSalary2 + OtherPersonnelSalary2 + SrFringe2 + Oth.PerBenefitsTuition2 + Equip2 + Travel2 + PSCYr2 + OtherDirCosts2 + SubAwrdTtl2,0)</f>
        <v>0</v>
      </c>
      <c r="V206" s="364">
        <f>ROUND(SrSalary3 + OtherPersonnelSalary3 + SrFringe3 + Oth.PerBenefitsTuition3 + Equip3 + Travel3 + PSCYr3 + OtherDirCosts3 + SubAwrdTtl3,0)</f>
        <v>0</v>
      </c>
      <c r="W206" s="364">
        <f>ROUND(SrSalary4 + OtherPersonnelSalary4 + SrFringe4 + Oth.PerBenefitsTuition4 + Equip4 + Travel4 + PSCYr4 + OtherDirCosts4 + SubAwrdTtl4,0)</f>
        <v>0</v>
      </c>
      <c r="X206" s="370">
        <f>ROUND(SrSalary5 + OtherPersonnelSalary5 + SrFringe5 + Oth.PerBenefitsTuition5 + Equip5 + Travel5 + PSCYr5 + OtherDirCosts5 + SubAwrdTtl5,0)</f>
        <v>0</v>
      </c>
      <c r="Y206" s="556">
        <f>ROUND(SUM(TDCYr1, TDCYr2, TDCYr3, TDCYr4, TDCYr5),0)</f>
        <v>0</v>
      </c>
      <c r="Z206" s="561">
        <f t="shared" si="120"/>
        <v>0</v>
      </c>
      <c r="AA206" s="399">
        <f>SUM(cs.SrSalary1,  cs.Tot.Oth.PerSalary1, cs.SrFringe1, cs.Tot.Oth.Per.Ben.Tuit1, cs.Equip1, cs.Travel1, cs.PSCYr1, cs.OthDirCost1, cs.SubTot1)</f>
        <v>0</v>
      </c>
      <c r="AB206" s="399">
        <f>SUM(cs.SrSalary2,  cs.Tot.Oth.PerSalary2, cs.SrFringe2, cs.Tot.Oth.Per.Ben.Tuit2, cs.Equip2, cs.Travel2, cs.PSCYr2, cs.OthDirCost2, cs.SubTot2)</f>
        <v>0</v>
      </c>
      <c r="AC206" s="399">
        <f>SUM(cs.SrSalary3,  cs.Tot.Oth.PerSalary3, cs.SrFringe3, cs.Tot.Oth.Per.Ben.Tuit3, cs.Equip3, cs.Travel3, cs.PSCYr3, cs.OthDirCost3, cs.SubTot3)</f>
        <v>0</v>
      </c>
      <c r="AD206" s="399">
        <f>SUM(cs.SrSalary4,  cs.Tot.Oth.PerSalary4, cs.SrFringe4, cs.Tot.Oth.Per.Ben.Tuit4, cs.Equip4, cs.Travel4, cs.PSCYr4, cs.OthDirCost4, cs.SubTot4)</f>
        <v>0</v>
      </c>
      <c r="AE206" s="399">
        <f>SUM(cs.SrSalary5,  cs.Tot.Oth.PerSalary5, cs.SrFringe5, cs.Tot.Oth.Per.Ben.Tuit5, cs.Equip5, cs.Travel5, cs.PSCYr5, cs.OthDirCost5, cs.SubTot5)</f>
        <v>0</v>
      </c>
      <c r="AF206" s="399">
        <f>SUM(AA206:AE206)</f>
        <v>0</v>
      </c>
      <c r="AG206" s="400"/>
      <c r="AH206" s="826" t="s">
        <v>267</v>
      </c>
      <c r="AI206" s="826"/>
      <c r="AJ206" s="826"/>
      <c r="AK206" s="826"/>
      <c r="AL206" s="826"/>
      <c r="AM206" s="826"/>
      <c r="AN206" s="826"/>
      <c r="AO206" s="826"/>
      <c r="AP206" s="826"/>
      <c r="AQ206" s="826"/>
      <c r="AR206" s="826"/>
      <c r="AS206" s="826"/>
      <c r="AT206" s="826"/>
      <c r="AU206" s="826"/>
      <c r="AV206" s="826"/>
      <c r="AW206" s="826"/>
      <c r="AX206" s="826"/>
      <c r="AY206" s="826"/>
      <c r="AZ206" s="827"/>
      <c r="BA206" s="28"/>
    </row>
    <row r="207" spans="2:53" ht="56.25" customHeight="1" thickBot="1" x14ac:dyDescent="0.3">
      <c r="B207" s="721" t="s">
        <v>268</v>
      </c>
      <c r="C207" s="721"/>
      <c r="D207" s="721"/>
      <c r="E207" s="721"/>
      <c r="F207" s="721"/>
      <c r="G207" s="721"/>
      <c r="H207" s="721"/>
      <c r="I207" s="721"/>
      <c r="J207" s="721"/>
      <c r="K207" s="721"/>
      <c r="L207" s="721"/>
      <c r="M207" s="721"/>
      <c r="N207" s="721"/>
      <c r="O207" s="721"/>
      <c r="P207" s="721"/>
      <c r="Q207" s="721"/>
      <c r="R207" s="721"/>
      <c r="S207" s="721"/>
      <c r="T207" s="721"/>
      <c r="U207" s="721"/>
      <c r="V207" s="721"/>
      <c r="W207" s="721"/>
      <c r="X207" s="721"/>
      <c r="Y207" s="736"/>
      <c r="Z207" s="561"/>
      <c r="AA207" s="652" t="s">
        <v>268</v>
      </c>
      <c r="AB207" s="652"/>
      <c r="AC207" s="652"/>
      <c r="AD207" s="652"/>
      <c r="AE207" s="652"/>
      <c r="AF207" s="652"/>
      <c r="AG207" s="652"/>
      <c r="AH207" s="652"/>
      <c r="AI207" s="652"/>
      <c r="AJ207" s="652"/>
      <c r="AK207" s="652"/>
      <c r="AL207" s="652"/>
      <c r="AM207" s="652"/>
      <c r="AN207" s="652"/>
      <c r="AO207" s="652"/>
      <c r="AP207" s="652"/>
      <c r="AQ207" s="652"/>
      <c r="AR207" s="652"/>
      <c r="AS207" s="652"/>
      <c r="AT207" s="652"/>
      <c r="AU207" s="652"/>
      <c r="AV207" s="652"/>
      <c r="AW207" s="652"/>
      <c r="AX207" s="652"/>
      <c r="AY207" s="652"/>
      <c r="AZ207" s="652"/>
    </row>
    <row r="208" spans="2:53" ht="38.25" customHeight="1" thickTop="1" thickBot="1" x14ac:dyDescent="0.3">
      <c r="B208" s="768" t="s">
        <v>269</v>
      </c>
      <c r="C208" s="768"/>
      <c r="D208" s="768"/>
      <c r="E208" s="768"/>
      <c r="F208" s="768"/>
      <c r="G208" s="768"/>
      <c r="H208" s="768"/>
      <c r="I208" s="768"/>
      <c r="J208" s="255"/>
      <c r="K208" s="255"/>
      <c r="L208" s="256"/>
      <c r="M208" s="256"/>
      <c r="N208" s="256"/>
      <c r="O208" s="256"/>
      <c r="P208" s="256"/>
      <c r="Q208" s="256"/>
      <c r="R208" s="256"/>
      <c r="S208" s="256"/>
      <c r="T208" s="257">
        <f>ROUND(IF(
    RateOptions="OtherTDC",
    TDCYr1,
    IF(
        RateOptions="Wages&amp;Fringe Only",
        TDCYr1-Tuition1-Equip1-PSCYr1-OtherDirCosts1-Travel1-SUM(SubsYr1Excl),
        TDCYr1-Tuition1-Equip1-PSCYr1-SUM(SubsYr1Excl)
    )
),0)</f>
        <v>0</v>
      </c>
      <c r="U208" s="257">
        <f>IF(
    RateOptions="OtherTDC",
    TDCYr2,
    IF(
        RateOptions="Wages&amp;Fringe Only",
        TDCYr2-Tuition2-Equip2-PSCYr2-OtherDirCosts2-Travel2-SUM(SubsYr2Excl),
        TDCYr2-Tuition2-Equip2-PSCYr2-SUM(SubsYr2Excl)
    )
)</f>
        <v>0</v>
      </c>
      <c r="V208" s="257">
        <f>IF(
    RateOptions="OtherTDC",
    TDCYr3,
    IF(
        RateOptions="Wages&amp;Fringe Only",
        TDCYr3-Tuition3-Equip3-PSCYr3-OtherDirCosts3-Travel3-SUM(SubsYr3Excl),
        TDCYr3-Tuition3-Equip3-PSCYr3-SUM(SubsYr3Excl)
    )
)</f>
        <v>0</v>
      </c>
      <c r="W208" s="257">
        <f>IF(
    RateOptions="OtherTDC",
    TDCYr4,
    IF(
        RateOptions="Wages&amp;Fringe Only",
        TDCYr4-Tuition4-Equip4-PSCYr4-OtherDirCosts4-Travel4-SUM(SubsYr4Excl),
        TDCYr4-Tuition4-Equip4-PSCYr4-SUM(SubsYr4Excl)
    )
)</f>
        <v>0</v>
      </c>
      <c r="X208" s="257">
        <f>IF(
    RateOptions="OtherTDC",
    TDCYr5,
    IF(
        RateOptions="Wages&amp;Fringe Only",
        TDCYr5-Tuition5-Equip5-PSCYr5-OtherDirCosts5-Travel5-SUM(SubsYr5Excl),
        TDCYr5-Tuition5-Equip5-PSCYr5-SUM(SubsYr5Excl)
    )
)</f>
        <v>0</v>
      </c>
      <c r="Y208" s="554">
        <f>SUM(IDCBase1,IDCBase2,IDCBase3, IDCBase4, IDCBase5)</f>
        <v>0</v>
      </c>
      <c r="Z208" s="561">
        <f>IDCBaseTOT+AF208</f>
        <v>0</v>
      </c>
      <c r="AA208" s="118">
        <f>IF(
       cs.RateOptions="OtherTDC",
       cs.TDCY1,
       IF(
             cs.RateOptions="Wages&amp;Fringe Only",
              cs.TDCY1-cs.GRA.Tuition1-cs.Equip1-cs.Travel1-cs.PSCYr1-cs.OthDirCost1-SUM(CSSubsExcl1),
              cs.TDCY1-cs.GRA.Tuition1-cs.Equip1-cs.PSCYr1-SUM(CSSubsExcl1)
           )
)</f>
        <v>0</v>
      </c>
      <c r="AB208" s="118">
        <f>IF(
       cs.RateOptions="OtherTDC",
       cs.TDCY2,
       IF(
             cs.RateOptions="Wages&amp;Fringe Only",
              cs.TDCY2-cs.GRA.Tuition2-cs.Equip2-cs.Travel2-cs.PSCYr2-cs.OthDirCost2-SUM(CSSubsExcl2),
              cs.TDCY2-cs.GRA.Tuition2-cs.Equip2-cs.PSCYr2-SUM(CSSubsExcl2)
           )
)</f>
        <v>0</v>
      </c>
      <c r="AC208" s="118">
        <f>IF(
       cs.RateOptions="OtherTDC",
       cs.TDCY3,
       IF(
             cs.RateOptions="Wages&amp;Fringe Only",
              cs.TDCY3-cs.GRA.Tuition3-cs.Equip3-cs.Travel3-cs.PSCYr3-cs.OthDirCost3-SUM(CSSubsExcl3),
              cs.TDCY3-cs.GRA.Tuition3-cs.Equip3-cs.PSCYr3-SUM(CSSubsExcl3)
           )
)</f>
        <v>0</v>
      </c>
      <c r="AD208" s="118">
        <f>IF(
       cs.RateOptions="OtherTDC",
       cs.TDCY4,
       IF(
             cs.RateOptions="Wages&amp;Fringe Only",
              cs.TDCY4-cs.GRA.Tuition4-cs.Equip4-cs.Travel4-cs.PSCYr4-cs.OthDirCost4-SUM(CSSubsExcl4),
              cs.TDCY4-cs.GRA.Tuition4-cs.Equip4-cs.PSCYr4-SUM(CSSubsExcl4)
           )
)</f>
        <v>0</v>
      </c>
      <c r="AE208" s="118">
        <f>IF(
       cs.RateOptions="OtherTDC",
       cs.TDCY5,
       IF(
             cs.RateOptions="Wages&amp;Fringe Only",
              cs.TDCY5-cs.GRA.Tuition5-cs.Equip5-cs.Travel5-cs.PSCYr5-cs.OthDirCost5-SUM(CSSubsExcl5),
              cs.TDCY5-cs.GRA.Tuition5-cs.Equip5-cs.PSCYr5-SUM(CSSubsExcl5)
           )
)</f>
        <v>0</v>
      </c>
      <c r="AF208" s="118">
        <f>SUM(AA208:AE208)</f>
        <v>0</v>
      </c>
      <c r="AG208" s="654" t="s">
        <v>269</v>
      </c>
      <c r="AH208" s="654"/>
      <c r="AI208" s="654"/>
      <c r="AJ208" s="222"/>
      <c r="AK208" s="222"/>
      <c r="AL208" s="222"/>
      <c r="AM208" s="222"/>
      <c r="AN208" s="222"/>
      <c r="AO208" s="222"/>
      <c r="AP208" s="222"/>
      <c r="AQ208" s="222"/>
      <c r="AR208" s="222"/>
      <c r="AS208" s="222"/>
      <c r="AT208" s="222"/>
      <c r="AU208" s="222"/>
      <c r="AV208" s="222"/>
      <c r="AW208" s="222"/>
      <c r="AX208" s="222"/>
      <c r="AY208" s="222"/>
      <c r="AZ208" s="222"/>
      <c r="BA208" s="28"/>
    </row>
    <row r="209" spans="2:53" ht="49.5" customHeight="1" thickBot="1" x14ac:dyDescent="0.3">
      <c r="B209" s="777" t="s">
        <v>270</v>
      </c>
      <c r="C209" s="777"/>
      <c r="D209" s="752" t="s">
        <v>271</v>
      </c>
      <c r="E209" s="752"/>
      <c r="F209" s="752"/>
      <c r="G209" s="83" cm="1">
        <f t="array" ref="G209">_xlfn.IFS(RateOptions=Rates!B3,Rates!C3,
RateOptions=Rates!B4,Rates!C4,
RateOptions=Rates!B5,Rates!C5,
RateOptions=Rates!B6,Rates!C6,
RateOptions=Rates!B7,Rates!C7,
RateOptions=Rates!B8,Rates!C8,
RateOptions=Rates!B9,Rates!C9,
RateOptions=Rates!B10,Rates!C10,
RateOptions=Rates!B11,Rates!C11, RateOptions=Rates!B12, Rates!C12)</f>
        <v>0.52500000000000002</v>
      </c>
      <c r="H209" s="778" t="s">
        <v>272</v>
      </c>
      <c r="I209" s="778"/>
      <c r="J209" s="322"/>
      <c r="K209" s="322"/>
      <c r="L209" s="715">
        <v>0</v>
      </c>
      <c r="M209" s="715"/>
      <c r="N209" s="152"/>
      <c r="O209" s="152"/>
      <c r="P209" s="152"/>
      <c r="Q209" s="152"/>
      <c r="R209" s="152"/>
      <c r="S209" s="152"/>
      <c r="T209" s="84">
        <f>IF(IDCRate &lt;&gt;  0, IDCRate * IDCBase1, OtherRate * IDCBase1)</f>
        <v>0</v>
      </c>
      <c r="U209" s="84">
        <f>IF(IDCRate &lt;&gt; 0, IDCRate * IDCBase2, OtherRate * IDCBase2)</f>
        <v>0</v>
      </c>
      <c r="V209" s="84">
        <f>IF(IDCRate &lt;&gt; 0, IDCRate * IDCBase3, OtherRate * IDCBase3)</f>
        <v>0</v>
      </c>
      <c r="W209" s="84">
        <f>IF(IDCRate &lt;&gt; 0, IDCRate * IDCBase4, OtherRate*IDCBase4)</f>
        <v>0</v>
      </c>
      <c r="X209" s="84">
        <f>IF(IDCRate &lt;&gt; 0, IDCRate * IDCBase5, OtherRate * IDCBase5)</f>
        <v>0</v>
      </c>
      <c r="Y209" s="553">
        <f>SUM(IDCYr1,IDCYr2,IDCYr3,IDCYr4, IDCYr5)</f>
        <v>0</v>
      </c>
      <c r="Z209" s="561">
        <f>IDCTOT+AF209</f>
        <v>0</v>
      </c>
      <c r="AA209" s="395" cm="1">
        <f t="array" ref="AA209">_xlfn.IFS(AND(cs.RateOptions = "OtherTDC", NICRARates= 0), cs.OtherRates*cs.TDCY1,  AND(NICRARates &lt;&gt; 0), NICRARates*cs.IDCbase1, NICRARates=0, cs.OtherRates*cs.IDCbase1)</f>
        <v>0</v>
      </c>
      <c r="AB209" s="395" cm="1">
        <f t="array" ref="AB209">_xlfn.IFS(AND(cs.RateOptions = "OtherTDC", NICRARates = 0), cs.OtherRates*cs.TDCY2, AND(NICRARates&lt;&gt;0), NICRARates*cs.IDCbase2, NICRARates=0, cs.OtherRates*cs.IDCbase2)</f>
        <v>0</v>
      </c>
      <c r="AC209" s="395" cm="1">
        <f t="array" ref="AC209">_xlfn.IFS(AND(cs.RateOptions = "OtherTDC", NICRARates = 0), cs.OtherRates*cs.TDCY3, AND(NICRARates &lt;&gt; 0), NICRARates*cs.IDCbase3, NICRARates = 0, cs.OtherRates*cs.IDCbase3)</f>
        <v>0</v>
      </c>
      <c r="AD209" s="395" cm="1">
        <f t="array" ref="AD209">_xlfn.IFS(AND(cs.RateOptions = "OtherTDC", NICRARates= 0),cs.OtherRates*cs.TDCY4, AND(NICRARates&lt;&gt;0), NICRARates*cs.IDCbase4, NICRARates=0,cs.OtherRates*cs.IDCbase4)</f>
        <v>0</v>
      </c>
      <c r="AE209" s="395" cm="1">
        <f t="array" ref="AE209">_xlfn.IFS(AND(cs.RateOptions = "OtherTDC", NICRARates= 0),cs.OtherRates*cs.TDCY5, AND(NICRARates&lt;&gt;0), NICRARates*cs.IDCbase5, NICRARates=0,cs.OtherRates*cs.IDCbase5)</f>
        <v>0</v>
      </c>
      <c r="AF209" s="395">
        <f>SUM(AA209:AE209)</f>
        <v>0</v>
      </c>
      <c r="AG209" s="818" t="s">
        <v>270</v>
      </c>
      <c r="AH209" s="818"/>
      <c r="AI209" s="818"/>
      <c r="AJ209" s="414"/>
      <c r="AK209" s="414"/>
      <c r="AL209" s="414"/>
      <c r="AM209" s="655" t="s">
        <v>273</v>
      </c>
      <c r="AN209" s="655"/>
      <c r="AO209" s="655"/>
      <c r="AP209" s="397" cm="1">
        <f t="array" ref="AP209">_xlfn.IFS(cs.RateOptions=Rates!B3,Rates!C3,
cs.RateOptions=Rates!B4,Rates!C45,
cs.RateOptions=Rates!B5,Rates!C5,
cs.RateOptions=Rates!B6,Rates!C6,
cs.RateOptions=Rates!B7,Rates!C7,
cs.RateOptions=Rates!B8,Rates!C8,
cs.RateOptions=Rates!B9,Rates!C9,
cs.RateOptions=Rates!B10,Rates!C10,
cs.RateOptions=Rates!B11,Rates!C11, cs.RateOptions=Rates!B12,Rates!C12)</f>
        <v>0</v>
      </c>
      <c r="AQ209" s="656" t="s">
        <v>272</v>
      </c>
      <c r="AR209" s="656"/>
      <c r="AS209" s="657">
        <v>0</v>
      </c>
      <c r="AT209" s="657"/>
      <c r="AU209" s="396"/>
      <c r="AV209" s="396"/>
      <c r="AW209" s="396"/>
      <c r="AX209" s="396"/>
      <c r="AY209" s="396"/>
      <c r="AZ209" s="398"/>
    </row>
    <row r="210" spans="2:53" ht="66" hidden="1" customHeight="1" outlineLevel="1" thickBot="1" x14ac:dyDescent="0.3">
      <c r="B210" s="669" t="s">
        <v>274</v>
      </c>
      <c r="C210" s="669"/>
      <c r="D210" s="669"/>
      <c r="E210" s="669"/>
      <c r="F210" s="669"/>
      <c r="G210" s="669"/>
      <c r="H210" s="669"/>
      <c r="I210" s="669"/>
      <c r="J210" s="669"/>
      <c r="K210" s="669"/>
      <c r="L210" s="669"/>
      <c r="M210" s="669"/>
      <c r="N210" s="669"/>
      <c r="O210" s="669"/>
      <c r="P210" s="669"/>
      <c r="Q210" s="669"/>
      <c r="R210" s="669"/>
      <c r="S210" s="669"/>
      <c r="T210" s="669"/>
      <c r="U210" s="669"/>
      <c r="V210" s="669"/>
      <c r="W210" s="669"/>
      <c r="X210" s="669"/>
      <c r="Y210" s="670"/>
      <c r="Z210" s="563">
        <f>AF210</f>
        <v>0</v>
      </c>
      <c r="AA210" s="288">
        <f>IF(cs.NICRARate = 0, 0, (cs.NICRARate*IDCBase1) - IDCYr1)</f>
        <v>0</v>
      </c>
      <c r="AB210" s="288">
        <f>IF(cs.NICRARate = 0,0, (cs.NICRARate*IDCBase2) - IDCYr2)</f>
        <v>0</v>
      </c>
      <c r="AC210" s="288">
        <f>IF(cs.NICRARate = 0,0, (cs.NICRARate*IDCBase3) - IDCYr3)</f>
        <v>0</v>
      </c>
      <c r="AD210" s="288">
        <f>IF(cs.NICRARate = 0,0, (cs.NICRARate*IDCBase4) - IDCYr4)</f>
        <v>0</v>
      </c>
      <c r="AE210" s="288">
        <f>IF(cs.NICRARate = 0,0, (cs.NICRARate*IDCBase5) - IDCYr5)</f>
        <v>0</v>
      </c>
      <c r="AF210" s="289">
        <f>SUM(AA210:AE210)</f>
        <v>0</v>
      </c>
      <c r="AG210" s="816" t="s">
        <v>275</v>
      </c>
      <c r="AH210" s="816"/>
      <c r="AI210" s="668" t="s">
        <v>276</v>
      </c>
      <c r="AJ210" s="668"/>
      <c r="AK210" s="668"/>
      <c r="AL210" s="668"/>
      <c r="AM210" s="668"/>
      <c r="AN210" s="668"/>
      <c r="AO210" s="666" t="s">
        <v>277</v>
      </c>
      <c r="AP210" s="667"/>
      <c r="AQ210" s="290">
        <v>0</v>
      </c>
      <c r="AR210" s="291"/>
      <c r="AS210" s="291"/>
      <c r="AT210" s="291"/>
      <c r="AU210" s="291"/>
      <c r="AV210" s="291"/>
      <c r="AW210" s="291"/>
      <c r="AX210" s="291"/>
      <c r="AY210" s="291"/>
      <c r="AZ210" s="292"/>
    </row>
    <row r="211" spans="2:53" ht="62.25" customHeight="1" collapsed="1" thickBot="1" x14ac:dyDescent="0.35">
      <c r="B211" s="766" t="s">
        <v>278</v>
      </c>
      <c r="C211" s="766"/>
      <c r="D211" s="766"/>
      <c r="E211" s="766"/>
      <c r="F211" s="766"/>
      <c r="G211" s="766"/>
      <c r="H211" s="766"/>
      <c r="I211" s="766"/>
      <c r="J211" s="236"/>
      <c r="K211" s="236"/>
      <c r="L211" s="237"/>
      <c r="M211" s="237"/>
      <c r="N211" s="237"/>
      <c r="O211" s="237"/>
      <c r="P211" s="237"/>
      <c r="Q211" s="237"/>
      <c r="R211" s="237"/>
      <c r="S211" s="237"/>
      <c r="T211" s="238">
        <f>ROUND(TDCYr1+IDCYr1,0)</f>
        <v>0</v>
      </c>
      <c r="U211" s="238">
        <f>ROUND(TDCYr2+IDCYr2,0)</f>
        <v>0</v>
      </c>
      <c r="V211" s="238">
        <f>ROUND(TDCYr3+IDCYr3,0)</f>
        <v>0</v>
      </c>
      <c r="W211" s="238">
        <f>ROUND(TDCYr4+IDCYr4,0)</f>
        <v>0</v>
      </c>
      <c r="X211" s="238">
        <f>ROUND(TDCYr5+IDCYr5,0)</f>
        <v>0</v>
      </c>
      <c r="Y211" s="593">
        <f>ROUND(TDCTOT+IDCTOT,0)</f>
        <v>0</v>
      </c>
      <c r="Z211" s="563">
        <f>TotalCostsTOT+AF211</f>
        <v>0</v>
      </c>
      <c r="AA211" s="294">
        <f>(cs.TDCY1 + cs.IDCYr1) + cs.ForgoneIdcCalculation1</f>
        <v>0</v>
      </c>
      <c r="AB211" s="294">
        <f>(cs.TDCY2 + cs.IDCYr2) + cs.ForgoneIdcCalculation2</f>
        <v>0</v>
      </c>
      <c r="AC211" s="294">
        <f>(cs.TDCY3 + cs.IDCYr3) + cs.ForgoneIdcCalculation3</f>
        <v>0</v>
      </c>
      <c r="AD211" s="294">
        <f>(cs.TDCY4 + cs.IDCYr4) + cs.ForgoneIdcCalculation4</f>
        <v>0</v>
      </c>
      <c r="AE211" s="294">
        <f>(cs.TDCY5 + cs.IDCYr5) + cs.ForgoneIdcCalculation5</f>
        <v>0</v>
      </c>
      <c r="AF211" s="294">
        <f>(cs.TDCTot + cs.IDCTot ) + cs.ForgoneIdcCalculationTot</f>
        <v>0</v>
      </c>
      <c r="AG211" s="817" t="s">
        <v>279</v>
      </c>
      <c r="AH211" s="817"/>
      <c r="AI211" s="817"/>
      <c r="AJ211" s="295"/>
      <c r="AK211" s="295"/>
      <c r="AL211" s="295"/>
      <c r="AM211" s="295"/>
      <c r="AN211" s="295"/>
      <c r="AO211" s="295"/>
      <c r="AP211" s="295"/>
      <c r="AQ211" s="295"/>
      <c r="AR211" s="295"/>
      <c r="AS211" s="295"/>
      <c r="AT211" s="295"/>
      <c r="AU211" s="295"/>
      <c r="AV211" s="295"/>
      <c r="AW211" s="295"/>
      <c r="AX211" s="295"/>
      <c r="AY211" s="295"/>
      <c r="AZ211" s="295"/>
      <c r="BA211" s="28"/>
    </row>
    <row r="212" spans="2:53" ht="25.5" customHeight="1" thickTop="1" x14ac:dyDescent="0.2">
      <c r="G212" s="47"/>
    </row>
    <row r="213" spans="2:53" ht="25.5" customHeight="1" x14ac:dyDescent="0.2">
      <c r="G213" s="48"/>
    </row>
  </sheetData>
  <mergeCells count="437">
    <mergeCell ref="AO73:AP73"/>
    <mergeCell ref="AP102:AQ102"/>
    <mergeCell ref="AP101:AQ101"/>
    <mergeCell ref="AP100:AQ100"/>
    <mergeCell ref="AP99:AQ99"/>
    <mergeCell ref="AP98:AQ98"/>
    <mergeCell ref="AP97:AQ97"/>
    <mergeCell ref="AP96:AQ96"/>
    <mergeCell ref="AP95:AQ95"/>
    <mergeCell ref="AP94:AQ94"/>
    <mergeCell ref="AP93:AQ93"/>
    <mergeCell ref="AO81:AP81"/>
    <mergeCell ref="AO80:AP80"/>
    <mergeCell ref="AO79:AP79"/>
    <mergeCell ref="AO78:AP78"/>
    <mergeCell ref="AO77:AP77"/>
    <mergeCell ref="AO76:AP76"/>
    <mergeCell ref="AO75:AP75"/>
    <mergeCell ref="AO74:AP74"/>
    <mergeCell ref="C101:D101"/>
    <mergeCell ref="C102:D102"/>
    <mergeCell ref="C106:D106"/>
    <mergeCell ref="C105:D105"/>
    <mergeCell ref="AO85:AP85"/>
    <mergeCell ref="AO84:AP84"/>
    <mergeCell ref="AO83:AP83"/>
    <mergeCell ref="AO82:AP82"/>
    <mergeCell ref="AP106:AQ106"/>
    <mergeCell ref="AP105:AQ105"/>
    <mergeCell ref="B85:C85"/>
    <mergeCell ref="C93:D93"/>
    <mergeCell ref="C94:D94"/>
    <mergeCell ref="C95:D95"/>
    <mergeCell ref="C96:D96"/>
    <mergeCell ref="C97:D97"/>
    <mergeCell ref="C98:D98"/>
    <mergeCell ref="C99:D99"/>
    <mergeCell ref="C100:D100"/>
    <mergeCell ref="AH30:AZ30"/>
    <mergeCell ref="AH157:AZ157"/>
    <mergeCell ref="AH166:AZ166"/>
    <mergeCell ref="AH174:AZ174"/>
    <mergeCell ref="AH193:AZ193"/>
    <mergeCell ref="AH205:AZ205"/>
    <mergeCell ref="AH206:AZ206"/>
    <mergeCell ref="D185:K185"/>
    <mergeCell ref="D186:K186"/>
    <mergeCell ref="D187:K187"/>
    <mergeCell ref="D190:K190"/>
    <mergeCell ref="D191:K191"/>
    <mergeCell ref="AJ192:AS192"/>
    <mergeCell ref="AJ191:AS191"/>
    <mergeCell ref="AJ190:AS190"/>
    <mergeCell ref="AJ187:AS187"/>
    <mergeCell ref="AJ186:AS186"/>
    <mergeCell ref="AJ185:AS185"/>
    <mergeCell ref="AJ184:AS184"/>
    <mergeCell ref="AJ183:AS183"/>
    <mergeCell ref="AJ182:AS182"/>
    <mergeCell ref="AA175:AZ175"/>
    <mergeCell ref="AD142:AD143"/>
    <mergeCell ref="AE142:AE143"/>
    <mergeCell ref="AG210:AH210"/>
    <mergeCell ref="AG211:AI211"/>
    <mergeCell ref="AG209:AI209"/>
    <mergeCell ref="AA90:AZ90"/>
    <mergeCell ref="AF140:AF141"/>
    <mergeCell ref="AA142:AA143"/>
    <mergeCell ref="AB142:AB143"/>
    <mergeCell ref="AC142:AC143"/>
    <mergeCell ref="AA138:AA139"/>
    <mergeCell ref="AB138:AB139"/>
    <mergeCell ref="AC138:AC139"/>
    <mergeCell ref="AP92:AQ92"/>
    <mergeCell ref="AP103:AQ103"/>
    <mergeCell ref="AP104:AQ104"/>
    <mergeCell ref="AP107:AQ107"/>
    <mergeCell ref="AP108:AQ108"/>
    <mergeCell ref="AP109:AQ109"/>
    <mergeCell ref="AP110:AQ110"/>
    <mergeCell ref="AP111:AQ111"/>
    <mergeCell ref="AQ117:AR117"/>
    <mergeCell ref="AQ118:AR118"/>
    <mergeCell ref="AQ121:AR121"/>
    <mergeCell ref="AA113:AZ113"/>
    <mergeCell ref="AF177:AF181"/>
    <mergeCell ref="AA140:AA141"/>
    <mergeCell ref="AB140:AB141"/>
    <mergeCell ref="AC140:AC141"/>
    <mergeCell ref="B135:P135"/>
    <mergeCell ref="D134:E134"/>
    <mergeCell ref="D126:E126"/>
    <mergeCell ref="Z138:Z139"/>
    <mergeCell ref="W138:W139"/>
    <mergeCell ref="X138:X139"/>
    <mergeCell ref="Y140:Y141"/>
    <mergeCell ref="T138:T139"/>
    <mergeCell ref="U138:U139"/>
    <mergeCell ref="V138:V139"/>
    <mergeCell ref="U140:U141"/>
    <mergeCell ref="W140:W141"/>
    <mergeCell ref="X140:X141"/>
    <mergeCell ref="Z163:Z165"/>
    <mergeCell ref="Z160:Z162"/>
    <mergeCell ref="AA150:AZ150"/>
    <mergeCell ref="AA158:AZ158"/>
    <mergeCell ref="W146:W147"/>
    <mergeCell ref="X146:X147"/>
    <mergeCell ref="D164:K164"/>
    <mergeCell ref="D165:K165"/>
    <mergeCell ref="G137:S147"/>
    <mergeCell ref="T146:T147"/>
    <mergeCell ref="T142:T143"/>
    <mergeCell ref="T144:T145"/>
    <mergeCell ref="U146:U147"/>
    <mergeCell ref="AF142:AF143"/>
    <mergeCell ref="AA144:AA145"/>
    <mergeCell ref="AA146:AA147"/>
    <mergeCell ref="AF138:AF139"/>
    <mergeCell ref="AB146:AB147"/>
    <mergeCell ref="AC146:AC147"/>
    <mergeCell ref="AF146:AF147"/>
    <mergeCell ref="AD138:AD139"/>
    <mergeCell ref="AE138:AE139"/>
    <mergeCell ref="AD140:AD141"/>
    <mergeCell ref="AE140:AE141"/>
    <mergeCell ref="AM171:AO171"/>
    <mergeCell ref="AB144:AB145"/>
    <mergeCell ref="AC144:AC145"/>
    <mergeCell ref="AF144:AF145"/>
    <mergeCell ref="AF163:AF165"/>
    <mergeCell ref="AF160:AF162"/>
    <mergeCell ref="AM168:AO168"/>
    <mergeCell ref="AM169:AO169"/>
    <mergeCell ref="AM170:AO170"/>
    <mergeCell ref="AA167:AZ167"/>
    <mergeCell ref="AD144:AD145"/>
    <mergeCell ref="AE144:AE145"/>
    <mergeCell ref="AD146:AD147"/>
    <mergeCell ref="AE146:AE147"/>
    <mergeCell ref="B69:C69"/>
    <mergeCell ref="B70:C70"/>
    <mergeCell ref="B71:C71"/>
    <mergeCell ref="C110:D110"/>
    <mergeCell ref="C111:D111"/>
    <mergeCell ref="D130:E130"/>
    <mergeCell ref="D133:E133"/>
    <mergeCell ref="D125:E125"/>
    <mergeCell ref="D129:E129"/>
    <mergeCell ref="D118:E118"/>
    <mergeCell ref="D122:E122"/>
    <mergeCell ref="D121:E121"/>
    <mergeCell ref="B84:C84"/>
    <mergeCell ref="B83:C83"/>
    <mergeCell ref="B82:C82"/>
    <mergeCell ref="B81:C81"/>
    <mergeCell ref="B80:C80"/>
    <mergeCell ref="B79:C79"/>
    <mergeCell ref="B78:C78"/>
    <mergeCell ref="B77:C77"/>
    <mergeCell ref="B76:C76"/>
    <mergeCell ref="B75:C75"/>
    <mergeCell ref="B74:C74"/>
    <mergeCell ref="B73:C73"/>
    <mergeCell ref="B2:E2"/>
    <mergeCell ref="B28:C28"/>
    <mergeCell ref="B29:C29"/>
    <mergeCell ref="B10:C10"/>
    <mergeCell ref="B11:C11"/>
    <mergeCell ref="B12:C12"/>
    <mergeCell ref="B13:C13"/>
    <mergeCell ref="B27:C27"/>
    <mergeCell ref="B4:C4"/>
    <mergeCell ref="B5:C5"/>
    <mergeCell ref="D3:F3"/>
    <mergeCell ref="D4:F4"/>
    <mergeCell ref="B3:C3"/>
    <mergeCell ref="B9:I9"/>
    <mergeCell ref="B25:C25"/>
    <mergeCell ref="B24:C24"/>
    <mergeCell ref="B23:C23"/>
    <mergeCell ref="B22:C22"/>
    <mergeCell ref="B21:C21"/>
    <mergeCell ref="B20:C20"/>
    <mergeCell ref="B19:C19"/>
    <mergeCell ref="B18:C18"/>
    <mergeCell ref="B17:C17"/>
    <mergeCell ref="B16:C16"/>
    <mergeCell ref="B67:S67"/>
    <mergeCell ref="B54:Y54"/>
    <mergeCell ref="B68:Y68"/>
    <mergeCell ref="C92:D92"/>
    <mergeCell ref="C103:D103"/>
    <mergeCell ref="C104:D104"/>
    <mergeCell ref="C107:D107"/>
    <mergeCell ref="C108:D108"/>
    <mergeCell ref="T9:Y9"/>
    <mergeCell ref="T31:Y31"/>
    <mergeCell ref="B31:I31"/>
    <mergeCell ref="B90:Y90"/>
    <mergeCell ref="L32:S52"/>
    <mergeCell ref="F69:S88"/>
    <mergeCell ref="F91:S111"/>
    <mergeCell ref="B53:S53"/>
    <mergeCell ref="B30:S30"/>
    <mergeCell ref="B66:S66"/>
    <mergeCell ref="C109:D109"/>
    <mergeCell ref="B72:C72"/>
    <mergeCell ref="B86:C86"/>
    <mergeCell ref="B87:C87"/>
    <mergeCell ref="B88:C88"/>
    <mergeCell ref="B89:I89"/>
    <mergeCell ref="B152:C152"/>
    <mergeCell ref="B153:C153"/>
    <mergeCell ref="B154:C154"/>
    <mergeCell ref="B155:C155"/>
    <mergeCell ref="B156:C156"/>
    <mergeCell ref="B183:C183"/>
    <mergeCell ref="B184:C184"/>
    <mergeCell ref="B192:C192"/>
    <mergeCell ref="B185:C185"/>
    <mergeCell ref="B175:Y175"/>
    <mergeCell ref="B163:C165"/>
    <mergeCell ref="B170:D170"/>
    <mergeCell ref="B171:D171"/>
    <mergeCell ref="B172:D172"/>
    <mergeCell ref="B169:D169"/>
    <mergeCell ref="B186:C186"/>
    <mergeCell ref="B190:C190"/>
    <mergeCell ref="B187:C187"/>
    <mergeCell ref="B182:C182"/>
    <mergeCell ref="L151:S156"/>
    <mergeCell ref="D152:K152"/>
    <mergeCell ref="D153:K153"/>
    <mergeCell ref="D154:K154"/>
    <mergeCell ref="D155:K155"/>
    <mergeCell ref="D156:K156"/>
    <mergeCell ref="D160:K160"/>
    <mergeCell ref="D161:K161"/>
    <mergeCell ref="D162:K162"/>
    <mergeCell ref="D163:K163"/>
    <mergeCell ref="B158:Y158"/>
    <mergeCell ref="B159:C159"/>
    <mergeCell ref="B211:I211"/>
    <mergeCell ref="B207:Y207"/>
    <mergeCell ref="B157:I157"/>
    <mergeCell ref="B166:I166"/>
    <mergeCell ref="B174:I174"/>
    <mergeCell ref="B193:I193"/>
    <mergeCell ref="B205:I205"/>
    <mergeCell ref="B208:I208"/>
    <mergeCell ref="B176:C176"/>
    <mergeCell ref="B168:D168"/>
    <mergeCell ref="Y160:Y162"/>
    <mergeCell ref="Y163:Y165"/>
    <mergeCell ref="B177:C181"/>
    <mergeCell ref="Y177:Y181"/>
    <mergeCell ref="B209:C209"/>
    <mergeCell ref="H209:I209"/>
    <mergeCell ref="B206:I206"/>
    <mergeCell ref="D209:F209"/>
    <mergeCell ref="E201:P201"/>
    <mergeCell ref="E199:P199"/>
    <mergeCell ref="B194:Y194"/>
    <mergeCell ref="E195:P195"/>
    <mergeCell ref="E204:P204"/>
    <mergeCell ref="B191:C191"/>
    <mergeCell ref="D177:K177"/>
    <mergeCell ref="E200:P200"/>
    <mergeCell ref="E196:P196"/>
    <mergeCell ref="B167:Y167"/>
    <mergeCell ref="D159:P159"/>
    <mergeCell ref="B173:D173"/>
    <mergeCell ref="E198:P198"/>
    <mergeCell ref="D176:K176"/>
    <mergeCell ref="D181:K181"/>
    <mergeCell ref="D182:K182"/>
    <mergeCell ref="D183:K183"/>
    <mergeCell ref="D184:K184"/>
    <mergeCell ref="B160:C162"/>
    <mergeCell ref="S159:S162"/>
    <mergeCell ref="S163:S165"/>
    <mergeCell ref="D151:H151"/>
    <mergeCell ref="B113:Y113"/>
    <mergeCell ref="D117:E117"/>
    <mergeCell ref="T140:T141"/>
    <mergeCell ref="V142:V143"/>
    <mergeCell ref="V144:V145"/>
    <mergeCell ref="V146:V147"/>
    <mergeCell ref="U142:U143"/>
    <mergeCell ref="U144:U145"/>
    <mergeCell ref="B136:Y136"/>
    <mergeCell ref="Y138:Y139"/>
    <mergeCell ref="W142:W143"/>
    <mergeCell ref="X142:X143"/>
    <mergeCell ref="B149:P149"/>
    <mergeCell ref="Y146:Y147"/>
    <mergeCell ref="B151:C151"/>
    <mergeCell ref="Y142:Y143"/>
    <mergeCell ref="Y144:Y145"/>
    <mergeCell ref="W144:W145"/>
    <mergeCell ref="X144:X145"/>
    <mergeCell ref="F114:S134"/>
    <mergeCell ref="AM172:AO172"/>
    <mergeCell ref="AM173:AO173"/>
    <mergeCell ref="AH53:AZ53"/>
    <mergeCell ref="AH66:AZ66"/>
    <mergeCell ref="AH67:AZ67"/>
    <mergeCell ref="AH89:AZ89"/>
    <mergeCell ref="AH112:AZ112"/>
    <mergeCell ref="AH148:AZ148"/>
    <mergeCell ref="L209:M209"/>
    <mergeCell ref="E197:P197"/>
    <mergeCell ref="E202:P202"/>
    <mergeCell ref="E203:P203"/>
    <mergeCell ref="Z177:Z181"/>
    <mergeCell ref="B148:P148"/>
    <mergeCell ref="B150:Y150"/>
    <mergeCell ref="Z140:Z141"/>
    <mergeCell ref="Z142:Z143"/>
    <mergeCell ref="Z144:Z145"/>
    <mergeCell ref="Z146:Z147"/>
    <mergeCell ref="V140:V141"/>
    <mergeCell ref="D178:K178"/>
    <mergeCell ref="D179:K179"/>
    <mergeCell ref="D180:K180"/>
    <mergeCell ref="D192:K192"/>
    <mergeCell ref="AQ125:AR125"/>
    <mergeCell ref="AQ126:AR126"/>
    <mergeCell ref="AQ129:AR129"/>
    <mergeCell ref="AQ130:AR130"/>
    <mergeCell ref="AQ133:AR133"/>
    <mergeCell ref="AQ134:AR134"/>
    <mergeCell ref="AH156:AS156"/>
    <mergeCell ref="AH155:AS155"/>
    <mergeCell ref="AH154:AS154"/>
    <mergeCell ref="AH153:AS153"/>
    <mergeCell ref="AH152:AS152"/>
    <mergeCell ref="AH135:AZ135"/>
    <mergeCell ref="AH149:AZ149"/>
    <mergeCell ref="AO210:AP210"/>
    <mergeCell ref="AI210:AN210"/>
    <mergeCell ref="B210:Y210"/>
    <mergeCell ref="M55:M65"/>
    <mergeCell ref="AG69:AN88"/>
    <mergeCell ref="AG91:AN111"/>
    <mergeCell ref="AJ165:AS165"/>
    <mergeCell ref="AJ164:AS164"/>
    <mergeCell ref="AJ163:AS163"/>
    <mergeCell ref="AJ162:AS162"/>
    <mergeCell ref="AJ161:AS161"/>
    <mergeCell ref="AJ160:AS160"/>
    <mergeCell ref="AJ159:AS159"/>
    <mergeCell ref="AJ181:AS181"/>
    <mergeCell ref="AJ180:AS180"/>
    <mergeCell ref="AJ179:AS179"/>
    <mergeCell ref="AO72:AP72"/>
    <mergeCell ref="AO86:AP86"/>
    <mergeCell ref="AO87:AP87"/>
    <mergeCell ref="AA194:AZ194"/>
    <mergeCell ref="AA207:AZ207"/>
    <mergeCell ref="B112:P112"/>
    <mergeCell ref="AJ178:AS178"/>
    <mergeCell ref="AJ177:AS177"/>
    <mergeCell ref="AA9:AP9"/>
    <mergeCell ref="AR9:AZ9"/>
    <mergeCell ref="AG208:AI208"/>
    <mergeCell ref="AM209:AO209"/>
    <mergeCell ref="AQ209:AR209"/>
    <mergeCell ref="AS209:AT209"/>
    <mergeCell ref="AO88:AP88"/>
    <mergeCell ref="AO10:AP10"/>
    <mergeCell ref="AO29:AP29"/>
    <mergeCell ref="AO28:AP28"/>
    <mergeCell ref="AO27:AP27"/>
    <mergeCell ref="AO13:AP13"/>
    <mergeCell ref="AO12:AP12"/>
    <mergeCell ref="AO11:AP11"/>
    <mergeCell ref="AA68:AZ68"/>
    <mergeCell ref="AA54:AZ54"/>
    <mergeCell ref="AM10:AN29"/>
    <mergeCell ref="AO69:AP69"/>
    <mergeCell ref="AO70:AP70"/>
    <mergeCell ref="AA136:AZ136"/>
    <mergeCell ref="AA31:AZ31"/>
    <mergeCell ref="AO71:AP71"/>
    <mergeCell ref="AM32:AN52"/>
    <mergeCell ref="AQ122:AR122"/>
    <mergeCell ref="B15:C15"/>
    <mergeCell ref="B14:C14"/>
    <mergeCell ref="B26:C26"/>
    <mergeCell ref="AO26:AP26"/>
    <mergeCell ref="AO25:AP25"/>
    <mergeCell ref="AO24:AP24"/>
    <mergeCell ref="AO23:AP23"/>
    <mergeCell ref="AO22:AP22"/>
    <mergeCell ref="AO21:AP21"/>
    <mergeCell ref="AO20:AP20"/>
    <mergeCell ref="AO19:AP19"/>
    <mergeCell ref="AO18:AP18"/>
    <mergeCell ref="AO17:AP17"/>
    <mergeCell ref="AO16:AP16"/>
    <mergeCell ref="AO15:AP15"/>
    <mergeCell ref="N17:O17"/>
    <mergeCell ref="P17:Q17"/>
    <mergeCell ref="M19:Q19"/>
    <mergeCell ref="P20:Q20"/>
    <mergeCell ref="M23:Q23"/>
    <mergeCell ref="N24:O24"/>
    <mergeCell ref="AO14:AP14"/>
    <mergeCell ref="O29:P29"/>
    <mergeCell ref="L10:S11"/>
    <mergeCell ref="P24:Q24"/>
    <mergeCell ref="N21:O21"/>
    <mergeCell ref="N25:O25"/>
    <mergeCell ref="P25:Q25"/>
    <mergeCell ref="P21:Q21"/>
    <mergeCell ref="N20:O20"/>
    <mergeCell ref="M27:Q27"/>
    <mergeCell ref="O28:P28"/>
    <mergeCell ref="M12:Q12"/>
    <mergeCell ref="N14:O14"/>
    <mergeCell ref="P14:Q14"/>
    <mergeCell ref="M16:Q16"/>
    <mergeCell ref="N13:O13"/>
    <mergeCell ref="P13:Q13"/>
    <mergeCell ref="AK196:AQ196"/>
    <mergeCell ref="AK198:AQ198"/>
    <mergeCell ref="AK200:AQ200"/>
    <mergeCell ref="AK202:AQ202"/>
    <mergeCell ref="AK204:AQ204"/>
    <mergeCell ref="AH182:AI182"/>
    <mergeCell ref="AH183:AI183"/>
    <mergeCell ref="AH184:AI184"/>
    <mergeCell ref="AH185:AI185"/>
    <mergeCell ref="AH186:AI186"/>
    <mergeCell ref="AH187:AI187"/>
  </mergeCells>
  <phoneticPr fontId="7" type="noConversion"/>
  <conditionalFormatting sqref="G56:K56 G58:K58 G60:K60 G62:K62 G64:K64">
    <cfRule type="cellIs" dxfId="2" priority="2" operator="greaterThan">
      <formula>20</formula>
    </cfRule>
  </conditionalFormatting>
  <conditionalFormatting sqref="T152:X156 AA152:AE156">
    <cfRule type="cellIs" dxfId="1" priority="4" operator="between">
      <formula>4999</formula>
      <formula>1</formula>
    </cfRule>
  </conditionalFormatting>
  <conditionalFormatting sqref="AH56:AL56 AH58:AL58 AH60:AL60 AH62:AL62 AH64:AL64">
    <cfRule type="cellIs" dxfId="0" priority="1" operator="greaterThan">
      <formula>20</formula>
    </cfRule>
  </conditionalFormatting>
  <dataValidations count="5">
    <dataValidation type="list" allowBlank="1" showInputMessage="1" showErrorMessage="1" sqref="N14:O14 O29:P29" xr:uid="{21DB08B0-7BF1-4868-9F65-D6D6A1020F41}">
      <formula1>"8.77, 3.23, 12"</formula1>
    </dataValidation>
    <dataValidation type="list" allowBlank="1" showInputMessage="1" showErrorMessage="1" sqref="N17:O17" xr:uid="{723D1060-FA1E-45DC-82E5-65F9A89290C9}">
      <formula1>"1520, 560, 2080"</formula1>
    </dataValidation>
    <dataValidation type="list" allowBlank="1" showInputMessage="1" showErrorMessage="1" sqref="N21:O21" xr:uid="{2FF47BD3-1ECF-47AE-80B5-C0B0267B03EB}">
      <formula1>"38, 14, 52"</formula1>
    </dataValidation>
    <dataValidation type="list" allowBlank="1" showInputMessage="1" showErrorMessage="1" sqref="N25:O25" xr:uid="{A5AAF538-2225-452A-9CEF-8A4F6747F696}">
      <formula1>"190, 70, 260"</formula1>
    </dataValidation>
    <dataValidation type="list" allowBlank="1" showInputMessage="1" showErrorMessage="1" sqref="AS11:AS29 F11:F29" xr:uid="{9DBD6D6E-3117-4CB4-86E1-9CFC6827F4EE}">
      <formula1>"8.77, 12"</formula1>
    </dataValidation>
  </dataValidations>
  <printOptions verticalCentered="1"/>
  <pageMargins left="0.5" right="0.5" top="0.5" bottom="0.5" header="0.5" footer="0"/>
  <pageSetup scale="29" fitToHeight="2" orientation="landscape" r:id="rId1"/>
  <headerFooter alignWithMargins="0">
    <oddFooter>&amp;LNorthern Arizona University&amp;CPage &amp;P&amp;R&amp;D</oddFooter>
  </headerFooter>
  <rowBreaks count="1" manualBreakCount="1">
    <brk id="150" max="1638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9021470D-5B7F-4948-BC63-082A291C78E5}">
          <x14:formula1>
            <xm:f>Rates!$B$3:$B$12</xm:f>
          </x14:formula1>
          <xm:sqref>AM209:AO209 D209:F209</xm:sqref>
        </x14:dataValidation>
        <x14:dataValidation type="list" allowBlank="1" showInputMessage="1" showErrorMessage="1" xr:uid="{A98BD7C4-9FB7-415A-8B6F-4DA3B7AA6113}">
          <x14:formula1>
            <xm:f>Rates!$B$21:$B$23</xm:f>
          </x14:formula1>
          <xm:sqref>D56 AQ64 AQ62 AQ60 AQ58 AQ56 D64 D62 D60 D58</xm:sqref>
        </x14:dataValidation>
      </x14:dataValidations>
    </ex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33E7-FF12-4093-A1E1-8821281B6649}">
  <sheetPr>
    <tabColor theme="8" tint="-0.249977111117893"/>
  </sheetPr>
  <dimension ref="A1:AP35"/>
  <sheetViews>
    <sheetView showGridLines="0" zoomScaleNormal="100" workbookViewId="0">
      <selection activeCell="AS17" sqref="AS17"/>
    </sheetView>
  </sheetViews>
  <sheetFormatPr defaultRowHeight="12.75" outlineLevelRow="1" x14ac:dyDescent="0.2"/>
  <cols>
    <col min="1" max="1" width="2.5703125" customWidth="1"/>
    <col min="2" max="2" width="3.5703125" customWidth="1"/>
    <col min="3" max="3" width="0.140625" customWidth="1"/>
    <col min="4" max="4" width="3" customWidth="1"/>
    <col min="5" max="5" width="5.42578125" customWidth="1"/>
    <col min="6" max="8" width="9.140625" hidden="1" customWidth="1"/>
    <col min="9" max="9" width="11.140625" customWidth="1"/>
    <col min="10" max="10" width="16" customWidth="1"/>
    <col min="11" max="11" width="11.140625" customWidth="1"/>
    <col min="12" max="12" width="6.85546875" hidden="1" customWidth="1"/>
    <col min="13" max="14" width="9.140625" hidden="1" customWidth="1"/>
    <col min="15" max="15" width="4" customWidth="1"/>
    <col min="16" max="16" width="14.140625" customWidth="1"/>
    <col min="17" max="17" width="6" hidden="1" customWidth="1"/>
    <col min="18" max="20" width="9.140625" hidden="1" customWidth="1"/>
    <col min="21" max="21" width="7.5703125" customWidth="1"/>
    <col min="22" max="22" width="2.5703125" customWidth="1"/>
    <col min="23" max="23" width="0.140625" customWidth="1"/>
    <col min="24" max="24" width="4.140625" hidden="1" customWidth="1"/>
    <col min="25" max="26" width="5" customWidth="1"/>
    <col min="27" max="27" width="0.85546875" customWidth="1"/>
    <col min="28" max="28" width="4.42578125" customWidth="1"/>
    <col min="29" max="29" width="2.7109375" customWidth="1"/>
    <col min="30" max="30" width="2.28515625" customWidth="1"/>
    <col min="31" max="31" width="5" customWidth="1"/>
    <col min="32" max="32" width="2.140625" customWidth="1"/>
    <col min="33" max="33" width="2.5703125" customWidth="1"/>
    <col min="34" max="35" width="3.140625" customWidth="1"/>
    <col min="36" max="36" width="9.140625" customWidth="1"/>
    <col min="37" max="37" width="2.42578125" customWidth="1"/>
    <col min="38" max="40" width="9.140625" hidden="1" customWidth="1"/>
    <col min="41" max="41" width="5.5703125" customWidth="1"/>
  </cols>
  <sheetData>
    <row r="1" spans="1:42" ht="6" customHeight="1" x14ac:dyDescent="0.2"/>
    <row r="2" spans="1:42" ht="17.25" customHeight="1" x14ac:dyDescent="0.3">
      <c r="B2" s="905" t="s">
        <v>280</v>
      </c>
      <c r="C2" s="905"/>
      <c r="D2" s="905"/>
      <c r="E2" s="905"/>
      <c r="F2" s="905"/>
      <c r="G2" s="905"/>
      <c r="H2" s="905"/>
      <c r="I2" s="905"/>
      <c r="J2" s="905"/>
      <c r="K2" s="905"/>
      <c r="L2" s="905"/>
      <c r="M2" s="905"/>
      <c r="N2" s="905"/>
      <c r="O2" s="905"/>
      <c r="P2" s="905"/>
      <c r="Q2" s="905"/>
      <c r="R2" s="905"/>
      <c r="S2" s="905"/>
      <c r="T2" s="905"/>
      <c r="U2" s="905"/>
      <c r="V2" s="905"/>
      <c r="W2" s="905"/>
      <c r="X2" s="905"/>
      <c r="Y2" s="905"/>
      <c r="Z2" s="905"/>
      <c r="AA2" s="905"/>
      <c r="AB2" s="905"/>
      <c r="AC2" s="905"/>
      <c r="AD2" s="905"/>
      <c r="AE2" s="905"/>
      <c r="AF2" s="905"/>
      <c r="AG2" s="905"/>
      <c r="AH2" s="905"/>
      <c r="AI2" s="905"/>
      <c r="AJ2" s="905"/>
      <c r="AK2" s="905"/>
      <c r="AL2" s="905"/>
      <c r="AM2" s="905"/>
      <c r="AN2" s="905"/>
      <c r="AO2" s="905"/>
      <c r="AP2" s="11"/>
    </row>
    <row r="3" spans="1:42" ht="13.5" customHeight="1" x14ac:dyDescent="0.25">
      <c r="B3" s="906" t="s">
        <v>281</v>
      </c>
      <c r="C3" s="906"/>
      <c r="D3" s="906"/>
      <c r="E3" s="906"/>
      <c r="F3" s="906"/>
      <c r="G3" s="906"/>
      <c r="H3" s="906"/>
      <c r="I3" s="906"/>
      <c r="J3" s="906"/>
      <c r="K3" s="906"/>
      <c r="L3" s="906"/>
      <c r="M3" s="906"/>
      <c r="N3" s="906"/>
      <c r="O3" s="906"/>
      <c r="P3" s="906"/>
      <c r="Q3" s="906"/>
      <c r="R3" s="906"/>
      <c r="S3" s="906"/>
      <c r="T3" s="906"/>
      <c r="U3" s="906"/>
      <c r="V3" s="906"/>
      <c r="W3" s="906"/>
      <c r="X3" s="906"/>
      <c r="Y3" s="906"/>
      <c r="Z3" s="906"/>
      <c r="AA3" s="906"/>
      <c r="AB3" s="906"/>
      <c r="AC3" s="906"/>
      <c r="AD3" s="906"/>
      <c r="AE3" s="906"/>
      <c r="AF3" s="906"/>
      <c r="AG3" s="906"/>
      <c r="AH3" s="906"/>
      <c r="AI3" s="906"/>
      <c r="AJ3" s="906"/>
      <c r="AK3" s="906"/>
      <c r="AL3" s="906"/>
      <c r="AM3" s="906"/>
      <c r="AN3" s="906"/>
      <c r="AO3" s="906"/>
      <c r="AP3" s="11"/>
    </row>
    <row r="4" spans="1:42" ht="15.75" x14ac:dyDescent="0.25">
      <c r="B4" s="907" t="s">
        <v>282</v>
      </c>
      <c r="C4" s="907"/>
      <c r="D4" s="907"/>
      <c r="E4" s="907"/>
      <c r="F4" s="907"/>
      <c r="G4" s="907"/>
      <c r="H4" s="907"/>
      <c r="I4" s="907"/>
      <c r="J4" s="907"/>
      <c r="K4" s="907"/>
      <c r="L4" s="907"/>
      <c r="M4" s="907"/>
      <c r="N4" s="907"/>
      <c r="O4" s="907"/>
      <c r="P4" s="907"/>
      <c r="Q4" s="907"/>
      <c r="R4" s="907"/>
      <c r="S4" s="907"/>
      <c r="T4" s="907"/>
      <c r="U4" s="907"/>
      <c r="V4" s="907"/>
      <c r="W4" s="907"/>
      <c r="X4" s="907"/>
      <c r="Y4" s="907"/>
      <c r="Z4" s="907"/>
      <c r="AA4" s="907"/>
      <c r="AB4" s="907"/>
      <c r="AC4" s="907"/>
      <c r="AD4" s="907"/>
      <c r="AE4" s="907"/>
      <c r="AF4" s="907"/>
      <c r="AG4" s="907"/>
      <c r="AH4" s="907"/>
      <c r="AI4" s="907"/>
      <c r="AJ4" s="907"/>
      <c r="AK4" s="907"/>
      <c r="AL4" s="907"/>
      <c r="AM4" s="907"/>
      <c r="AN4" s="907"/>
      <c r="AO4" s="907"/>
      <c r="AP4" s="11"/>
    </row>
    <row r="5" spans="1:42" ht="6.75" customHeight="1" x14ac:dyDescent="0.25">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row>
    <row r="6" spans="1:42" ht="3.75" customHeight="1" x14ac:dyDescent="0.25">
      <c r="B6" s="6"/>
      <c r="F6" s="6"/>
      <c r="H6" s="6"/>
      <c r="L6" s="6"/>
      <c r="M6" s="2"/>
      <c r="N6" s="2"/>
      <c r="O6" s="2"/>
      <c r="P6" s="2"/>
      <c r="Q6" s="2"/>
      <c r="R6" s="2"/>
      <c r="S6" s="2"/>
      <c r="U6" s="6"/>
      <c r="V6" s="2"/>
      <c r="W6" s="2"/>
      <c r="X6" s="2"/>
      <c r="Y6" s="2"/>
      <c r="Z6" s="2"/>
      <c r="AA6" s="2"/>
      <c r="AB6" s="2"/>
      <c r="AC6" s="2"/>
      <c r="AD6" s="2"/>
      <c r="AE6" s="2"/>
      <c r="AF6" s="2"/>
      <c r="AG6" s="2"/>
      <c r="AH6" s="2"/>
      <c r="AI6" s="2"/>
      <c r="AJ6" s="2"/>
    </row>
    <row r="7" spans="1:42" ht="15" x14ac:dyDescent="0.25">
      <c r="B7" s="6"/>
      <c r="F7" s="6"/>
      <c r="H7" s="6"/>
      <c r="K7" s="908" t="s">
        <v>283</v>
      </c>
      <c r="L7" s="908"/>
      <c r="M7" s="908"/>
      <c r="N7" s="908"/>
      <c r="O7" s="908"/>
      <c r="P7" s="908" t="s">
        <v>284</v>
      </c>
      <c r="Q7" s="908"/>
      <c r="R7" s="908"/>
      <c r="S7" s="908"/>
      <c r="T7" s="908"/>
      <c r="U7" s="908" t="s">
        <v>285</v>
      </c>
      <c r="V7" s="908"/>
      <c r="W7" s="908"/>
      <c r="X7" s="908"/>
      <c r="Y7" s="908"/>
      <c r="Z7" s="908" t="s">
        <v>286</v>
      </c>
      <c r="AA7" s="908"/>
      <c r="AB7" s="908"/>
      <c r="AC7" s="908"/>
      <c r="AD7" s="908"/>
      <c r="AE7" s="908" t="s">
        <v>287</v>
      </c>
      <c r="AF7" s="908"/>
      <c r="AG7" s="908"/>
      <c r="AH7" s="908"/>
      <c r="AI7" s="908"/>
      <c r="AJ7" s="909" t="s">
        <v>288</v>
      </c>
      <c r="AK7" s="910"/>
      <c r="AL7" s="910"/>
      <c r="AM7" s="910"/>
      <c r="AN7" s="910"/>
      <c r="AO7" s="911"/>
    </row>
    <row r="8" spans="1:42" ht="12.75" customHeight="1" x14ac:dyDescent="0.2">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912"/>
      <c r="AK8" s="913"/>
      <c r="AL8" s="913"/>
      <c r="AM8" s="913"/>
      <c r="AN8" s="913"/>
      <c r="AO8" s="914"/>
    </row>
    <row r="9" spans="1:42" ht="27" customHeight="1" x14ac:dyDescent="0.2">
      <c r="A9" s="8"/>
      <c r="B9" s="900" t="s">
        <v>289</v>
      </c>
      <c r="C9" s="900"/>
      <c r="D9" s="900"/>
      <c r="E9" s="900"/>
      <c r="F9" s="900"/>
      <c r="G9" s="900"/>
      <c r="H9" s="900"/>
      <c r="I9" s="900"/>
      <c r="J9" s="900"/>
      <c r="K9" s="901">
        <f>SUM(K10:O11)</f>
        <v>0</v>
      </c>
      <c r="L9" s="901"/>
      <c r="M9" s="901"/>
      <c r="N9" s="901"/>
      <c r="O9" s="901"/>
      <c r="P9" s="901">
        <f>SUM(P10:P11)</f>
        <v>0</v>
      </c>
      <c r="Q9" s="901"/>
      <c r="R9" s="901"/>
      <c r="S9" s="901"/>
      <c r="T9" s="901"/>
      <c r="U9" s="901">
        <f>SUM(U10:Y11)</f>
        <v>0</v>
      </c>
      <c r="V9" s="901"/>
      <c r="W9" s="901"/>
      <c r="X9" s="901"/>
      <c r="Y9" s="901"/>
      <c r="Z9" s="901">
        <f>SUM(Z10:AD11)</f>
        <v>0</v>
      </c>
      <c r="AA9" s="901"/>
      <c r="AB9" s="901"/>
      <c r="AC9" s="901"/>
      <c r="AD9" s="901"/>
      <c r="AE9" s="901">
        <f>SUM(AE10:AI11)</f>
        <v>0</v>
      </c>
      <c r="AF9" s="901"/>
      <c r="AG9" s="901"/>
      <c r="AH9" s="901"/>
      <c r="AI9" s="901"/>
      <c r="AJ9" s="902">
        <f t="shared" ref="AJ9:AJ25" si="0">SUM(K9:AI9)</f>
        <v>0</v>
      </c>
      <c r="AK9" s="903"/>
      <c r="AL9" s="903"/>
      <c r="AM9" s="903"/>
      <c r="AN9" s="903"/>
      <c r="AO9" s="904"/>
    </row>
    <row r="10" spans="1:42" ht="22.5" customHeight="1" x14ac:dyDescent="0.2">
      <c r="A10" s="8"/>
      <c r="B10" s="853" t="s">
        <v>290</v>
      </c>
      <c r="C10" s="853"/>
      <c r="D10" s="853"/>
      <c r="E10" s="853"/>
      <c r="F10" s="853"/>
      <c r="G10" s="853"/>
      <c r="H10" s="853"/>
      <c r="I10" s="853"/>
      <c r="J10" s="864"/>
      <c r="K10" s="916">
        <f>'Budget Details'!T30</f>
        <v>0</v>
      </c>
      <c r="L10" s="917"/>
      <c r="M10" s="917"/>
      <c r="N10" s="917"/>
      <c r="O10" s="918"/>
      <c r="P10" s="119">
        <f>'Budget Details'!U30</f>
        <v>0</v>
      </c>
      <c r="Q10" s="119"/>
      <c r="R10" s="119"/>
      <c r="S10" s="119"/>
      <c r="T10" s="119"/>
      <c r="U10" s="916">
        <f>'Budget Details'!V30</f>
        <v>0</v>
      </c>
      <c r="V10" s="917"/>
      <c r="W10" s="917"/>
      <c r="X10" s="917"/>
      <c r="Y10" s="918"/>
      <c r="Z10" s="916">
        <f>'Budget Details'!W30</f>
        <v>0</v>
      </c>
      <c r="AA10" s="917"/>
      <c r="AB10" s="917"/>
      <c r="AC10" s="917"/>
      <c r="AD10" s="918"/>
      <c r="AE10" s="916">
        <f>'Budget Details'!X30</f>
        <v>0</v>
      </c>
      <c r="AF10" s="917"/>
      <c r="AG10" s="917"/>
      <c r="AH10" s="917"/>
      <c r="AI10" s="918"/>
      <c r="AJ10" s="916">
        <f t="shared" si="0"/>
        <v>0</v>
      </c>
      <c r="AK10" s="917"/>
      <c r="AL10" s="917"/>
      <c r="AM10" s="917"/>
      <c r="AN10" s="917"/>
      <c r="AO10" s="918"/>
    </row>
    <row r="11" spans="1:42" ht="22.5" customHeight="1" x14ac:dyDescent="0.2">
      <c r="A11" s="8"/>
      <c r="B11" s="923" t="s">
        <v>291</v>
      </c>
      <c r="C11" s="923"/>
      <c r="D11" s="923"/>
      <c r="E11" s="923"/>
      <c r="F11" s="923"/>
      <c r="G11" s="923"/>
      <c r="H11" s="923"/>
      <c r="I11" s="923"/>
      <c r="J11" s="924"/>
      <c r="K11" s="925">
        <f>'Budget Details'!T67</f>
        <v>0</v>
      </c>
      <c r="L11" s="926"/>
      <c r="M11" s="926"/>
      <c r="N11" s="926"/>
      <c r="O11" s="927"/>
      <c r="P11" s="120">
        <f>'Budget Details'!U67</f>
        <v>0</v>
      </c>
      <c r="Q11" s="120"/>
      <c r="R11" s="120"/>
      <c r="S11" s="120"/>
      <c r="T11" s="120"/>
      <c r="U11" s="925">
        <f>'Budget Details'!V67</f>
        <v>0</v>
      </c>
      <c r="V11" s="926"/>
      <c r="W11" s="926"/>
      <c r="X11" s="926"/>
      <c r="Y11" s="927"/>
      <c r="Z11" s="925">
        <f>'Budget Details'!W67</f>
        <v>0</v>
      </c>
      <c r="AA11" s="926"/>
      <c r="AB11" s="926"/>
      <c r="AC11" s="926"/>
      <c r="AD11" s="927"/>
      <c r="AE11" s="925">
        <f>'Budget Details'!X67</f>
        <v>0</v>
      </c>
      <c r="AF11" s="926"/>
      <c r="AG11" s="926"/>
      <c r="AH11" s="926"/>
      <c r="AI11" s="927"/>
      <c r="AJ11" s="895">
        <f t="shared" si="0"/>
        <v>0</v>
      </c>
      <c r="AK11" s="896"/>
      <c r="AL11" s="896"/>
      <c r="AM11" s="896"/>
      <c r="AN11" s="896"/>
      <c r="AO11" s="897"/>
    </row>
    <row r="12" spans="1:42" ht="21.75" customHeight="1" x14ac:dyDescent="0.2">
      <c r="A12" s="8"/>
      <c r="B12" s="888" t="s">
        <v>292</v>
      </c>
      <c r="C12" s="888"/>
      <c r="D12" s="888"/>
      <c r="E12" s="888"/>
      <c r="F12" s="888"/>
      <c r="G12" s="888"/>
      <c r="H12" s="888"/>
      <c r="I12" s="888"/>
      <c r="J12" s="888"/>
      <c r="K12" s="889">
        <f>SUM(K13:O15)</f>
        <v>0</v>
      </c>
      <c r="L12" s="889"/>
      <c r="M12" s="889"/>
      <c r="N12" s="889"/>
      <c r="O12" s="889"/>
      <c r="P12" s="889">
        <f t="shared" ref="P12" si="1">SUM(P13:T15)</f>
        <v>0</v>
      </c>
      <c r="Q12" s="889"/>
      <c r="R12" s="889"/>
      <c r="S12" s="889"/>
      <c r="T12" s="889"/>
      <c r="U12" s="889">
        <f>SUM(U13:Y15)</f>
        <v>0</v>
      </c>
      <c r="V12" s="889"/>
      <c r="W12" s="889"/>
      <c r="X12" s="889"/>
      <c r="Y12" s="889"/>
      <c r="Z12" s="889">
        <f t="shared" ref="Z12" si="2">SUM(Z13:AD15)</f>
        <v>0</v>
      </c>
      <c r="AA12" s="889"/>
      <c r="AB12" s="889"/>
      <c r="AC12" s="889"/>
      <c r="AD12" s="889"/>
      <c r="AE12" s="889">
        <f t="shared" ref="AE12" si="3">SUM(AE13:AI15)</f>
        <v>0</v>
      </c>
      <c r="AF12" s="889"/>
      <c r="AG12" s="889"/>
      <c r="AH12" s="889"/>
      <c r="AI12" s="889"/>
      <c r="AJ12" s="889">
        <f t="shared" si="0"/>
        <v>0</v>
      </c>
      <c r="AK12" s="889"/>
      <c r="AL12" s="889"/>
      <c r="AM12" s="889"/>
      <c r="AN12" s="889"/>
      <c r="AO12" s="889"/>
    </row>
    <row r="13" spans="1:42" ht="22.5" customHeight="1" x14ac:dyDescent="0.2">
      <c r="A13" s="8"/>
      <c r="B13" s="853" t="s">
        <v>290</v>
      </c>
      <c r="C13" s="853"/>
      <c r="D13" s="853"/>
      <c r="E13" s="853"/>
      <c r="F13" s="853"/>
      <c r="G13" s="853"/>
      <c r="H13" s="853"/>
      <c r="I13" s="853"/>
      <c r="J13" s="864"/>
      <c r="K13" s="916">
        <f>'Budget Details'!T89</f>
        <v>0</v>
      </c>
      <c r="L13" s="917"/>
      <c r="M13" s="917"/>
      <c r="N13" s="917"/>
      <c r="O13" s="918"/>
      <c r="P13" s="119">
        <f>SrFringe2</f>
        <v>0</v>
      </c>
      <c r="Q13" s="119"/>
      <c r="R13" s="119"/>
      <c r="S13" s="119"/>
      <c r="T13" s="119"/>
      <c r="U13" s="916">
        <f>'Budget Details'!V89</f>
        <v>0</v>
      </c>
      <c r="V13" s="917"/>
      <c r="W13" s="917"/>
      <c r="X13" s="917"/>
      <c r="Y13" s="918"/>
      <c r="Z13" s="916">
        <f>'Budget Details'!W89</f>
        <v>0</v>
      </c>
      <c r="AA13" s="917"/>
      <c r="AB13" s="917"/>
      <c r="AC13" s="917"/>
      <c r="AD13" s="918"/>
      <c r="AE13" s="916">
        <f>'Budget Details'!X89</f>
        <v>0</v>
      </c>
      <c r="AF13" s="917"/>
      <c r="AG13" s="917"/>
      <c r="AH13" s="917"/>
      <c r="AI13" s="918"/>
      <c r="AJ13" s="854">
        <f t="shared" si="0"/>
        <v>0</v>
      </c>
      <c r="AK13" s="854"/>
      <c r="AL13" s="854"/>
      <c r="AM13" s="854"/>
      <c r="AN13" s="854"/>
      <c r="AO13" s="854"/>
    </row>
    <row r="14" spans="1:42" ht="22.5" customHeight="1" x14ac:dyDescent="0.2">
      <c r="A14" s="8"/>
      <c r="B14" s="853" t="s">
        <v>291</v>
      </c>
      <c r="C14" s="853"/>
      <c r="D14" s="853"/>
      <c r="E14" s="853"/>
      <c r="F14" s="853"/>
      <c r="G14" s="853"/>
      <c r="H14" s="853"/>
      <c r="I14" s="853"/>
      <c r="J14" s="915"/>
      <c r="K14" s="917">
        <f>'Budget Details'!T112+'Budget Details'!T135</f>
        <v>0</v>
      </c>
      <c r="L14" s="917"/>
      <c r="M14" s="917"/>
      <c r="N14" s="917"/>
      <c r="O14" s="917"/>
      <c r="P14" s="121">
        <f>'Budget Details'!U112+'Budget Details'!U135</f>
        <v>0</v>
      </c>
      <c r="Q14" s="119"/>
      <c r="R14" s="119"/>
      <c r="S14" s="119"/>
      <c r="T14" s="122"/>
      <c r="U14" s="919">
        <f>'Budget Details'!V112+'Budget Details'!V135</f>
        <v>0</v>
      </c>
      <c r="V14" s="917"/>
      <c r="W14" s="917"/>
      <c r="X14" s="917"/>
      <c r="Y14" s="920"/>
      <c r="Z14" s="929">
        <f>'Budget Details'!W112+'Budget Details'!W135</f>
        <v>0</v>
      </c>
      <c r="AA14" s="917"/>
      <c r="AB14" s="917"/>
      <c r="AC14" s="917"/>
      <c r="AD14" s="920"/>
      <c r="AE14" s="917">
        <f>'Budget Details'!X112+'Budget Details'!X135</f>
        <v>0</v>
      </c>
      <c r="AF14" s="917"/>
      <c r="AG14" s="917"/>
      <c r="AH14" s="917"/>
      <c r="AI14" s="917"/>
      <c r="AJ14" s="921">
        <f t="shared" si="0"/>
        <v>0</v>
      </c>
      <c r="AK14" s="854"/>
      <c r="AL14" s="854"/>
      <c r="AM14" s="854"/>
      <c r="AN14" s="854"/>
      <c r="AO14" s="922"/>
    </row>
    <row r="15" spans="1:42" ht="22.5" customHeight="1" x14ac:dyDescent="0.2">
      <c r="A15" s="8"/>
      <c r="B15" s="853" t="s">
        <v>210</v>
      </c>
      <c r="C15" s="853"/>
      <c r="D15" s="853"/>
      <c r="E15" s="853"/>
      <c r="F15" s="853"/>
      <c r="G15" s="853"/>
      <c r="H15" s="853"/>
      <c r="I15" s="853"/>
      <c r="J15" s="853"/>
      <c r="K15" s="899">
        <f>'Budget Details'!T148</f>
        <v>0</v>
      </c>
      <c r="L15" s="899"/>
      <c r="M15" s="899"/>
      <c r="N15" s="899"/>
      <c r="O15" s="899"/>
      <c r="P15" s="899">
        <f>'Budget Details'!U148</f>
        <v>0</v>
      </c>
      <c r="Q15" s="899"/>
      <c r="R15" s="899"/>
      <c r="S15" s="899"/>
      <c r="T15" s="899"/>
      <c r="U15" s="899">
        <f>'Budget Details'!V148</f>
        <v>0</v>
      </c>
      <c r="V15" s="899"/>
      <c r="W15" s="899"/>
      <c r="X15" s="899"/>
      <c r="Y15" s="899"/>
      <c r="Z15" s="899">
        <f>'Budget Details'!W148</f>
        <v>0</v>
      </c>
      <c r="AA15" s="899"/>
      <c r="AB15" s="899"/>
      <c r="AC15" s="899"/>
      <c r="AD15" s="899"/>
      <c r="AE15" s="899">
        <f>'Budget Details'!X148</f>
        <v>0</v>
      </c>
      <c r="AF15" s="899"/>
      <c r="AG15" s="899"/>
      <c r="AH15" s="899"/>
      <c r="AI15" s="899"/>
      <c r="AJ15" s="899">
        <f t="shared" si="0"/>
        <v>0</v>
      </c>
      <c r="AK15" s="899"/>
      <c r="AL15" s="899"/>
      <c r="AM15" s="899"/>
      <c r="AN15" s="899"/>
      <c r="AO15" s="899"/>
    </row>
    <row r="16" spans="1:42" ht="24" customHeight="1" x14ac:dyDescent="0.2">
      <c r="A16" s="8"/>
      <c r="B16" s="898" t="s">
        <v>224</v>
      </c>
      <c r="C16" s="898"/>
      <c r="D16" s="898"/>
      <c r="E16" s="898"/>
      <c r="F16" s="898"/>
      <c r="G16" s="898"/>
      <c r="H16" s="898"/>
      <c r="I16" s="898"/>
      <c r="J16" s="898"/>
      <c r="K16" s="890">
        <f>'Budget Details'!T157</f>
        <v>0</v>
      </c>
      <c r="L16" s="890"/>
      <c r="M16" s="890"/>
      <c r="N16" s="890"/>
      <c r="O16" s="890"/>
      <c r="P16" s="890">
        <f>'Budget Details'!U157</f>
        <v>0</v>
      </c>
      <c r="Q16" s="890"/>
      <c r="R16" s="890"/>
      <c r="S16" s="890"/>
      <c r="T16" s="890"/>
      <c r="U16" s="890">
        <f>'Budget Details'!V157</f>
        <v>0</v>
      </c>
      <c r="V16" s="890"/>
      <c r="W16" s="890"/>
      <c r="X16" s="890"/>
      <c r="Y16" s="890"/>
      <c r="Z16" s="890">
        <f>'Budget Details'!W157</f>
        <v>0</v>
      </c>
      <c r="AA16" s="890"/>
      <c r="AB16" s="890"/>
      <c r="AC16" s="890"/>
      <c r="AD16" s="890"/>
      <c r="AE16" s="890">
        <f>'Budget Details'!X157</f>
        <v>0</v>
      </c>
      <c r="AF16" s="890"/>
      <c r="AG16" s="890"/>
      <c r="AH16" s="890"/>
      <c r="AI16" s="890"/>
      <c r="AJ16" s="890">
        <f t="shared" si="0"/>
        <v>0</v>
      </c>
      <c r="AK16" s="890"/>
      <c r="AL16" s="890"/>
      <c r="AM16" s="890"/>
      <c r="AN16" s="890"/>
      <c r="AO16" s="890"/>
    </row>
    <row r="17" spans="1:41" ht="24" customHeight="1" x14ac:dyDescent="0.2">
      <c r="A17" s="8"/>
      <c r="B17" s="888" t="s">
        <v>229</v>
      </c>
      <c r="C17" s="888"/>
      <c r="D17" s="888"/>
      <c r="E17" s="888"/>
      <c r="F17" s="888"/>
      <c r="G17" s="888"/>
      <c r="H17" s="888"/>
      <c r="I17" s="888"/>
      <c r="J17" s="888"/>
      <c r="K17" s="889">
        <f>SUM(K18:O19)</f>
        <v>0</v>
      </c>
      <c r="L17" s="889"/>
      <c r="M17" s="889"/>
      <c r="N17" s="889"/>
      <c r="O17" s="889"/>
      <c r="P17" s="887">
        <f t="shared" ref="P17" si="4">SUM(P18:T19)</f>
        <v>0</v>
      </c>
      <c r="Q17" s="890"/>
      <c r="R17" s="890"/>
      <c r="S17" s="890"/>
      <c r="T17" s="890"/>
      <c r="U17" s="889">
        <f t="shared" ref="U17" si="5">SUM(U18:Y19)</f>
        <v>0</v>
      </c>
      <c r="V17" s="889"/>
      <c r="W17" s="889"/>
      <c r="X17" s="889"/>
      <c r="Y17" s="889"/>
      <c r="Z17" s="889">
        <f t="shared" ref="Z17" si="6">SUM(Z18:AD19)</f>
        <v>0</v>
      </c>
      <c r="AA17" s="889"/>
      <c r="AB17" s="889"/>
      <c r="AC17" s="889"/>
      <c r="AD17" s="889"/>
      <c r="AE17" s="889">
        <f t="shared" ref="AE17" si="7">SUM(AE18:AI19)</f>
        <v>0</v>
      </c>
      <c r="AF17" s="889"/>
      <c r="AG17" s="889"/>
      <c r="AH17" s="889"/>
      <c r="AI17" s="889"/>
      <c r="AJ17" s="887">
        <f t="shared" si="0"/>
        <v>0</v>
      </c>
      <c r="AK17" s="887"/>
      <c r="AL17" s="887"/>
      <c r="AM17" s="887"/>
      <c r="AN17" s="887"/>
      <c r="AO17" s="887"/>
    </row>
    <row r="18" spans="1:41" ht="22.5" customHeight="1" x14ac:dyDescent="0.2">
      <c r="A18" s="8"/>
      <c r="B18" s="853" t="s">
        <v>293</v>
      </c>
      <c r="C18" s="853"/>
      <c r="D18" s="853"/>
      <c r="E18" s="853"/>
      <c r="F18" s="853"/>
      <c r="G18" s="853"/>
      <c r="H18" s="853"/>
      <c r="I18" s="853"/>
      <c r="J18" s="864"/>
      <c r="K18" s="892">
        <f>SUM('Budget Details'!T160:T162)</f>
        <v>0</v>
      </c>
      <c r="L18" s="893"/>
      <c r="M18" s="893"/>
      <c r="N18" s="893"/>
      <c r="O18" s="894"/>
      <c r="P18" s="119">
        <f>SUM('Budget Details'!U160:U162)</f>
        <v>0</v>
      </c>
      <c r="Q18" s="123"/>
      <c r="R18" s="123"/>
      <c r="S18" s="123"/>
      <c r="T18" s="123"/>
      <c r="U18" s="892">
        <f>SUM('Budget Details'!V160:V162)</f>
        <v>0</v>
      </c>
      <c r="V18" s="893"/>
      <c r="W18" s="893"/>
      <c r="X18" s="893"/>
      <c r="Y18" s="894"/>
      <c r="Z18" s="892">
        <f>SUM('Budget Details'!W160:W162)</f>
        <v>0</v>
      </c>
      <c r="AA18" s="893"/>
      <c r="AB18" s="893"/>
      <c r="AC18" s="893"/>
      <c r="AD18" s="894"/>
      <c r="AE18" s="892">
        <f>SUM('Budget Details'!X160:X162)</f>
        <v>0</v>
      </c>
      <c r="AF18" s="893"/>
      <c r="AG18" s="893"/>
      <c r="AH18" s="893"/>
      <c r="AI18" s="894"/>
      <c r="AJ18" s="854">
        <f t="shared" si="0"/>
        <v>0</v>
      </c>
      <c r="AK18" s="854"/>
      <c r="AL18" s="854"/>
      <c r="AM18" s="854"/>
      <c r="AN18" s="854"/>
      <c r="AO18" s="854"/>
    </row>
    <row r="19" spans="1:41" ht="22.5" customHeight="1" x14ac:dyDescent="0.2">
      <c r="A19" s="8"/>
      <c r="B19" s="853" t="s">
        <v>294</v>
      </c>
      <c r="C19" s="853"/>
      <c r="D19" s="853"/>
      <c r="E19" s="853"/>
      <c r="F19" s="853"/>
      <c r="G19" s="853"/>
      <c r="H19" s="853"/>
      <c r="I19" s="853"/>
      <c r="J19" s="864"/>
      <c r="K19" s="895">
        <f>SUM('Budget Details'!T163:T165)</f>
        <v>0</v>
      </c>
      <c r="L19" s="896"/>
      <c r="M19" s="896"/>
      <c r="N19" s="896"/>
      <c r="O19" s="897"/>
      <c r="P19" s="120">
        <f>SUM('Budget Details'!U163:U165)</f>
        <v>0</v>
      </c>
      <c r="Q19" s="123"/>
      <c r="R19" s="123"/>
      <c r="S19" s="123"/>
      <c r="T19" s="123"/>
      <c r="U19" s="895">
        <f>SUM('Budget Details'!V163:V165)</f>
        <v>0</v>
      </c>
      <c r="V19" s="896"/>
      <c r="W19" s="896"/>
      <c r="X19" s="896"/>
      <c r="Y19" s="897"/>
      <c r="Z19" s="895">
        <f>SUM('Budget Details'!W163:W165)</f>
        <v>0</v>
      </c>
      <c r="AA19" s="896"/>
      <c r="AB19" s="896"/>
      <c r="AC19" s="896"/>
      <c r="AD19" s="897"/>
      <c r="AE19" s="895">
        <f>SUM('Budget Details'!X163:X165)</f>
        <v>0</v>
      </c>
      <c r="AF19" s="896"/>
      <c r="AG19" s="896"/>
      <c r="AH19" s="896"/>
      <c r="AI19" s="897"/>
      <c r="AJ19" s="899">
        <f t="shared" si="0"/>
        <v>0</v>
      </c>
      <c r="AK19" s="899"/>
      <c r="AL19" s="899"/>
      <c r="AM19" s="899"/>
      <c r="AN19" s="899"/>
      <c r="AO19" s="899"/>
    </row>
    <row r="20" spans="1:41" ht="24.75" customHeight="1" x14ac:dyDescent="0.2">
      <c r="A20" s="8"/>
      <c r="B20" s="898" t="s">
        <v>295</v>
      </c>
      <c r="C20" s="898"/>
      <c r="D20" s="898"/>
      <c r="E20" s="898"/>
      <c r="F20" s="898"/>
      <c r="G20" s="898"/>
      <c r="H20" s="898"/>
      <c r="I20" s="898"/>
      <c r="J20" s="898"/>
      <c r="K20" s="890">
        <f>'Budget Details'!T174</f>
        <v>0</v>
      </c>
      <c r="L20" s="890"/>
      <c r="M20" s="890"/>
      <c r="N20" s="890"/>
      <c r="O20" s="890"/>
      <c r="P20" s="890">
        <f>'Budget Details'!U174</f>
        <v>0</v>
      </c>
      <c r="Q20" s="890"/>
      <c r="R20" s="890"/>
      <c r="S20" s="890"/>
      <c r="T20" s="890"/>
      <c r="U20" s="890">
        <f>'Budget Details'!V174</f>
        <v>0</v>
      </c>
      <c r="V20" s="890"/>
      <c r="W20" s="890"/>
      <c r="X20" s="890"/>
      <c r="Y20" s="890"/>
      <c r="Z20" s="890">
        <f>'Budget Details'!W174</f>
        <v>0</v>
      </c>
      <c r="AA20" s="890"/>
      <c r="AB20" s="890"/>
      <c r="AC20" s="890"/>
      <c r="AD20" s="890"/>
      <c r="AE20" s="890">
        <f>'Budget Details'!X174</f>
        <v>0</v>
      </c>
      <c r="AF20" s="890"/>
      <c r="AG20" s="890"/>
      <c r="AH20" s="890"/>
      <c r="AI20" s="890"/>
      <c r="AJ20" s="890">
        <f t="shared" si="0"/>
        <v>0</v>
      </c>
      <c r="AK20" s="890"/>
      <c r="AL20" s="890"/>
      <c r="AM20" s="890"/>
      <c r="AN20" s="890"/>
      <c r="AO20" s="890"/>
    </row>
    <row r="21" spans="1:41" ht="24.75" customHeight="1" x14ac:dyDescent="0.2">
      <c r="A21" s="8"/>
      <c r="B21" s="891" t="s">
        <v>255</v>
      </c>
      <c r="C21" s="891"/>
      <c r="D21" s="891"/>
      <c r="E21" s="891"/>
      <c r="F21" s="891"/>
      <c r="G21" s="891"/>
      <c r="H21" s="891"/>
      <c r="I21" s="891"/>
      <c r="J21" s="891"/>
      <c r="K21" s="887">
        <f>SUM(K22:O24)</f>
        <v>0</v>
      </c>
      <c r="L21" s="887"/>
      <c r="M21" s="887"/>
      <c r="N21" s="887"/>
      <c r="O21" s="887"/>
      <c r="P21" s="889">
        <f>SUM(P22:T24)</f>
        <v>0</v>
      </c>
      <c r="Q21" s="889"/>
      <c r="R21" s="889"/>
      <c r="S21" s="889"/>
      <c r="T21" s="889"/>
      <c r="U21" s="887">
        <f>SUM(U22:Y24)</f>
        <v>0</v>
      </c>
      <c r="V21" s="887"/>
      <c r="W21" s="887"/>
      <c r="X21" s="887"/>
      <c r="Y21" s="887"/>
      <c r="Z21" s="887">
        <f>SUM(Z22:AD24)</f>
        <v>0</v>
      </c>
      <c r="AA21" s="887"/>
      <c r="AB21" s="887"/>
      <c r="AC21" s="887"/>
      <c r="AD21" s="887"/>
      <c r="AE21" s="887">
        <f>SUM(AE22:AI24)</f>
        <v>0</v>
      </c>
      <c r="AF21" s="887"/>
      <c r="AG21" s="887"/>
      <c r="AH21" s="887"/>
      <c r="AI21" s="887"/>
      <c r="AJ21" s="887">
        <f t="shared" si="0"/>
        <v>0</v>
      </c>
      <c r="AK21" s="887"/>
      <c r="AL21" s="887"/>
      <c r="AM21" s="887"/>
      <c r="AN21" s="887"/>
      <c r="AO21" s="887"/>
    </row>
    <row r="22" spans="1:41" ht="22.5" customHeight="1" x14ac:dyDescent="0.2">
      <c r="A22" s="8"/>
      <c r="B22" s="856" t="s">
        <v>296</v>
      </c>
      <c r="C22" s="857"/>
      <c r="D22" s="857"/>
      <c r="E22" s="857"/>
      <c r="F22" s="857"/>
      <c r="G22" s="857"/>
      <c r="H22" s="857"/>
      <c r="I22" s="857"/>
      <c r="J22" s="858"/>
      <c r="K22" s="849">
        <f>SUM('Budget Details'!T177:T181)</f>
        <v>0</v>
      </c>
      <c r="L22" s="849"/>
      <c r="M22" s="849"/>
      <c r="N22" s="849"/>
      <c r="O22" s="849"/>
      <c r="P22" s="859">
        <f>SUM('Budget Details'!U177:U181)</f>
        <v>0</v>
      </c>
      <c r="Q22" s="859"/>
      <c r="R22" s="859"/>
      <c r="S22" s="859"/>
      <c r="T22" s="859"/>
      <c r="U22" s="849">
        <f>SUM('Budget Details'!V177:V181)</f>
        <v>0</v>
      </c>
      <c r="V22" s="849"/>
      <c r="W22" s="849"/>
      <c r="X22" s="849"/>
      <c r="Y22" s="849"/>
      <c r="Z22" s="849">
        <f>SUM('Budget Details'!W177:W181)</f>
        <v>0</v>
      </c>
      <c r="AA22" s="849"/>
      <c r="AB22" s="849"/>
      <c r="AC22" s="849"/>
      <c r="AD22" s="849"/>
      <c r="AE22" s="849">
        <f>SUM('Budget Details'!X177:X181)</f>
        <v>0</v>
      </c>
      <c r="AF22" s="849"/>
      <c r="AG22" s="849"/>
      <c r="AH22" s="849"/>
      <c r="AI22" s="849"/>
      <c r="AJ22" s="849">
        <f t="shared" si="0"/>
        <v>0</v>
      </c>
      <c r="AK22" s="849"/>
      <c r="AL22" s="849"/>
      <c r="AM22" s="849"/>
      <c r="AN22" s="849"/>
      <c r="AO22" s="849"/>
    </row>
    <row r="23" spans="1:41" ht="22.5" customHeight="1" x14ac:dyDescent="0.2">
      <c r="A23" s="8"/>
      <c r="B23" s="853" t="s">
        <v>297</v>
      </c>
      <c r="C23" s="853"/>
      <c r="D23" s="853"/>
      <c r="E23" s="853"/>
      <c r="F23" s="853"/>
      <c r="G23" s="853"/>
      <c r="H23" s="853"/>
      <c r="I23" s="853"/>
      <c r="J23" s="853"/>
      <c r="K23" s="854">
        <f>'Budget Details'!T182</f>
        <v>0</v>
      </c>
      <c r="L23" s="854"/>
      <c r="M23" s="854"/>
      <c r="N23" s="854"/>
      <c r="O23" s="854"/>
      <c r="P23" s="855">
        <f>'Budget Details'!U182</f>
        <v>0</v>
      </c>
      <c r="Q23" s="855"/>
      <c r="R23" s="855"/>
      <c r="S23" s="855"/>
      <c r="T23" s="855"/>
      <c r="U23" s="854">
        <f>'Budget Details'!V182</f>
        <v>0</v>
      </c>
      <c r="V23" s="854"/>
      <c r="W23" s="854"/>
      <c r="X23" s="854"/>
      <c r="Y23" s="854"/>
      <c r="Z23" s="854">
        <f>'Budget Details'!W182</f>
        <v>0</v>
      </c>
      <c r="AA23" s="854"/>
      <c r="AB23" s="854"/>
      <c r="AC23" s="854"/>
      <c r="AD23" s="854"/>
      <c r="AE23" s="854">
        <f>'Budget Details'!X182</f>
        <v>0</v>
      </c>
      <c r="AF23" s="854"/>
      <c r="AG23" s="854"/>
      <c r="AH23" s="854"/>
      <c r="AI23" s="854"/>
      <c r="AJ23" s="854">
        <f t="shared" si="0"/>
        <v>0</v>
      </c>
      <c r="AK23" s="854"/>
      <c r="AL23" s="854"/>
      <c r="AM23" s="854"/>
      <c r="AN23" s="854"/>
      <c r="AO23" s="854"/>
    </row>
    <row r="24" spans="1:41" ht="22.5" customHeight="1" x14ac:dyDescent="0.2">
      <c r="A24" s="8"/>
      <c r="B24" s="853" t="s">
        <v>298</v>
      </c>
      <c r="C24" s="853"/>
      <c r="D24" s="853"/>
      <c r="E24" s="853"/>
      <c r="F24" s="853"/>
      <c r="G24" s="853"/>
      <c r="H24" s="853"/>
      <c r="I24" s="853"/>
      <c r="J24" s="864"/>
      <c r="K24" s="860">
        <f>SUM('Budget Details'!T183:T192)</f>
        <v>0</v>
      </c>
      <c r="L24" s="861"/>
      <c r="M24" s="861"/>
      <c r="N24" s="861"/>
      <c r="O24" s="862"/>
      <c r="P24" s="125">
        <f>SUM('Budget Details'!U183:U192)</f>
        <v>0</v>
      </c>
      <c r="Q24" s="125"/>
      <c r="R24" s="125"/>
      <c r="S24" s="125"/>
      <c r="T24" s="125"/>
      <c r="U24" s="860">
        <f>SUM('Budget Details'!V183:V192)</f>
        <v>0</v>
      </c>
      <c r="V24" s="861"/>
      <c r="W24" s="861"/>
      <c r="X24" s="861"/>
      <c r="Y24" s="862"/>
      <c r="Z24" s="860">
        <f>SUM('Budget Details'!W183:W192)</f>
        <v>0</v>
      </c>
      <c r="AA24" s="861"/>
      <c r="AB24" s="861"/>
      <c r="AC24" s="861"/>
      <c r="AD24" s="862"/>
      <c r="AE24" s="860">
        <f>SUM('Budget Details'!X183:X192)</f>
        <v>0</v>
      </c>
      <c r="AF24" s="861"/>
      <c r="AG24" s="861"/>
      <c r="AH24" s="861"/>
      <c r="AI24" s="862"/>
      <c r="AJ24" s="860">
        <f t="shared" si="0"/>
        <v>0</v>
      </c>
      <c r="AK24" s="861"/>
      <c r="AL24" s="861"/>
      <c r="AM24" s="861"/>
      <c r="AN24" s="861"/>
      <c r="AO24" s="862"/>
    </row>
    <row r="25" spans="1:41" ht="21.75" customHeight="1" x14ac:dyDescent="0.2">
      <c r="A25" s="8"/>
      <c r="B25" s="850" t="s">
        <v>299</v>
      </c>
      <c r="C25" s="850"/>
      <c r="D25" s="850"/>
      <c r="E25" s="850"/>
      <c r="F25" s="850"/>
      <c r="G25" s="850"/>
      <c r="H25" s="850"/>
      <c r="I25" s="850"/>
      <c r="J25" s="851"/>
      <c r="K25" s="852">
        <f>'Budget Details'!T205</f>
        <v>0</v>
      </c>
      <c r="L25" s="852"/>
      <c r="M25" s="852"/>
      <c r="N25" s="852"/>
      <c r="O25" s="852"/>
      <c r="P25" s="852">
        <f>'Budget Details'!U205</f>
        <v>0</v>
      </c>
      <c r="Q25" s="852"/>
      <c r="R25" s="852"/>
      <c r="S25" s="852"/>
      <c r="T25" s="852"/>
      <c r="U25" s="852">
        <f>'Budget Details'!V205</f>
        <v>0</v>
      </c>
      <c r="V25" s="852"/>
      <c r="W25" s="852"/>
      <c r="X25" s="852"/>
      <c r="Y25" s="852"/>
      <c r="Z25" s="852">
        <f>'Budget Details'!W205</f>
        <v>0</v>
      </c>
      <c r="AA25" s="852"/>
      <c r="AB25" s="852"/>
      <c r="AC25" s="852"/>
      <c r="AD25" s="852"/>
      <c r="AE25" s="852">
        <f>'Budget Details'!X205</f>
        <v>0</v>
      </c>
      <c r="AF25" s="852"/>
      <c r="AG25" s="852"/>
      <c r="AH25" s="852"/>
      <c r="AI25" s="852"/>
      <c r="AJ25" s="852">
        <f t="shared" si="0"/>
        <v>0</v>
      </c>
      <c r="AK25" s="852"/>
      <c r="AL25" s="852"/>
      <c r="AM25" s="852"/>
      <c r="AN25" s="852"/>
      <c r="AO25" s="852"/>
    </row>
    <row r="26" spans="1:41" ht="6.75" customHeight="1" x14ac:dyDescent="0.2">
      <c r="B26" s="863"/>
      <c r="C26" s="863"/>
      <c r="D26" s="863"/>
      <c r="E26" s="863"/>
      <c r="F26" s="863"/>
      <c r="G26" s="863"/>
      <c r="H26" s="863"/>
      <c r="I26" s="863"/>
      <c r="J26" s="863"/>
      <c r="K26" s="863"/>
      <c r="L26" s="863"/>
      <c r="M26" s="863"/>
      <c r="N26" s="863"/>
      <c r="O26" s="863"/>
      <c r="P26" s="863"/>
      <c r="Q26" s="863"/>
      <c r="R26" s="863"/>
      <c r="S26" s="863"/>
      <c r="T26" s="863"/>
      <c r="U26" s="863"/>
      <c r="V26" s="863"/>
      <c r="W26" s="863"/>
      <c r="X26" s="863"/>
      <c r="Y26" s="863"/>
      <c r="Z26" s="863"/>
      <c r="AA26" s="863"/>
      <c r="AB26" s="863"/>
      <c r="AC26" s="863"/>
      <c r="AD26" s="863"/>
      <c r="AE26" s="863"/>
      <c r="AF26" s="863"/>
      <c r="AG26" s="863"/>
      <c r="AH26" s="863"/>
      <c r="AI26" s="863"/>
      <c r="AJ26" s="863"/>
      <c r="AK26" s="863"/>
      <c r="AL26" s="863"/>
      <c r="AM26" s="863"/>
      <c r="AN26" s="863"/>
      <c r="AO26" s="863"/>
    </row>
    <row r="27" spans="1:41" ht="22.5" customHeight="1" x14ac:dyDescent="0.2">
      <c r="B27" s="884" t="s">
        <v>300</v>
      </c>
      <c r="C27" s="885"/>
      <c r="D27" s="885"/>
      <c r="E27" s="885"/>
      <c r="F27" s="885"/>
      <c r="G27" s="885"/>
      <c r="H27" s="885"/>
      <c r="I27" s="885"/>
      <c r="J27" s="886"/>
      <c r="K27" s="837">
        <f>SUM(K9,K12,K16,K17,K20,K21,K25)</f>
        <v>0</v>
      </c>
      <c r="L27" s="837"/>
      <c r="M27" s="837"/>
      <c r="N27" s="837"/>
      <c r="O27" s="837"/>
      <c r="P27" s="837">
        <f>SUM(P9,P12,P16,P17,P20,P21,P25)</f>
        <v>0</v>
      </c>
      <c r="Q27" s="837"/>
      <c r="R27" s="837"/>
      <c r="S27" s="837"/>
      <c r="T27" s="837"/>
      <c r="U27" s="837">
        <f>SUM(U9,U12,U16,U17,U20,U21,U25)</f>
        <v>0</v>
      </c>
      <c r="V27" s="837"/>
      <c r="W27" s="837"/>
      <c r="X27" s="837"/>
      <c r="Y27" s="837"/>
      <c r="Z27" s="837">
        <f>SUM(Z9,Z12,Z16,Z17,Z20,Z21,Z25)</f>
        <v>0</v>
      </c>
      <c r="AA27" s="837"/>
      <c r="AB27" s="837"/>
      <c r="AC27" s="837"/>
      <c r="AD27" s="837"/>
      <c r="AE27" s="837">
        <f>SUM(AE9,AE12,AE16,AE17,AE20,AE21,AE25)</f>
        <v>0</v>
      </c>
      <c r="AF27" s="837"/>
      <c r="AG27" s="837"/>
      <c r="AH27" s="837"/>
      <c r="AI27" s="837"/>
      <c r="AJ27" s="837">
        <f>SUM(AJ9,AJ12,AJ16,AJ17,AJ20,AJ21,AJ25)</f>
        <v>0</v>
      </c>
      <c r="AK27" s="837"/>
      <c r="AL27" s="837"/>
      <c r="AM27" s="837"/>
      <c r="AN27" s="837"/>
      <c r="AO27" s="837"/>
    </row>
    <row r="28" spans="1:41" ht="27.75" customHeight="1" x14ac:dyDescent="0.2">
      <c r="B28" s="844" t="s">
        <v>301</v>
      </c>
      <c r="C28" s="844"/>
      <c r="D28" s="844"/>
      <c r="E28" s="844"/>
      <c r="F28" s="844"/>
      <c r="G28" s="844"/>
      <c r="H28" s="844"/>
      <c r="I28" s="844"/>
      <c r="J28" s="844"/>
      <c r="K28" s="835">
        <f>'Budget Details'!T208</f>
        <v>0</v>
      </c>
      <c r="L28" s="835"/>
      <c r="M28" s="835"/>
      <c r="N28" s="835"/>
      <c r="O28" s="835"/>
      <c r="P28" s="836">
        <f>'Budget Details'!U208</f>
        <v>0</v>
      </c>
      <c r="Q28" s="836"/>
      <c r="R28" s="836"/>
      <c r="S28" s="836"/>
      <c r="T28" s="836"/>
      <c r="U28" s="836">
        <f>'Budget Details'!V208</f>
        <v>0</v>
      </c>
      <c r="V28" s="836"/>
      <c r="W28" s="836"/>
      <c r="X28" s="836"/>
      <c r="Y28" s="836"/>
      <c r="Z28" s="836">
        <f>'Budget Details'!W208</f>
        <v>0</v>
      </c>
      <c r="AA28" s="836"/>
      <c r="AB28" s="836"/>
      <c r="AC28" s="836"/>
      <c r="AD28" s="836"/>
      <c r="AE28" s="836">
        <f>'Budget Details'!X208</f>
        <v>0</v>
      </c>
      <c r="AF28" s="836"/>
      <c r="AG28" s="836"/>
      <c r="AH28" s="836"/>
      <c r="AI28" s="836"/>
      <c r="AJ28" s="834">
        <f>SUM(K28:AI28)</f>
        <v>0</v>
      </c>
      <c r="AK28" s="834"/>
      <c r="AL28" s="834"/>
      <c r="AM28" s="834"/>
      <c r="AN28" s="834"/>
      <c r="AO28" s="834"/>
    </row>
    <row r="29" spans="1:41" ht="25.5" customHeight="1" x14ac:dyDescent="0.2">
      <c r="B29" s="840" t="s">
        <v>270</v>
      </c>
      <c r="C29" s="841"/>
      <c r="D29" s="841"/>
      <c r="E29" s="841"/>
      <c r="F29" s="841"/>
      <c r="G29" s="841"/>
      <c r="H29" s="841"/>
      <c r="I29" s="841"/>
      <c r="J29" s="842"/>
      <c r="K29" s="843">
        <f>'Budget Details'!T209</f>
        <v>0</v>
      </c>
      <c r="L29" s="843"/>
      <c r="M29" s="843"/>
      <c r="N29" s="843"/>
      <c r="O29" s="843"/>
      <c r="P29" s="843">
        <f>'Budget Details'!U209</f>
        <v>0</v>
      </c>
      <c r="Q29" s="843"/>
      <c r="R29" s="843"/>
      <c r="S29" s="843"/>
      <c r="T29" s="843"/>
      <c r="U29" s="843">
        <f>'Budget Details'!V209</f>
        <v>0</v>
      </c>
      <c r="V29" s="843"/>
      <c r="W29" s="843"/>
      <c r="X29" s="843"/>
      <c r="Y29" s="843"/>
      <c r="Z29" s="843">
        <f>'Budget Details'!W209</f>
        <v>0</v>
      </c>
      <c r="AA29" s="843"/>
      <c r="AB29" s="843"/>
      <c r="AC29" s="843"/>
      <c r="AD29" s="843"/>
      <c r="AE29" s="843">
        <f>'Budget Details'!X209</f>
        <v>0</v>
      </c>
      <c r="AF29" s="843"/>
      <c r="AG29" s="843"/>
      <c r="AH29" s="843"/>
      <c r="AI29" s="843"/>
      <c r="AJ29" s="876">
        <f>SUM(K29:AI29)</f>
        <v>0</v>
      </c>
      <c r="AK29" s="876"/>
      <c r="AL29" s="876"/>
      <c r="AM29" s="876"/>
      <c r="AN29" s="876"/>
      <c r="AO29" s="876"/>
    </row>
    <row r="30" spans="1:41" ht="8.25" customHeight="1" x14ac:dyDescent="0.2">
      <c r="B30" s="881"/>
      <c r="C30" s="881"/>
      <c r="D30" s="881"/>
      <c r="E30" s="881"/>
      <c r="F30" s="881"/>
      <c r="G30" s="881"/>
      <c r="H30" s="881"/>
      <c r="I30" s="881"/>
      <c r="J30" s="881"/>
      <c r="K30" s="881"/>
      <c r="L30" s="881"/>
      <c r="M30" s="881"/>
      <c r="N30" s="881"/>
      <c r="O30" s="881"/>
      <c r="P30" s="881"/>
      <c r="Q30" s="881"/>
      <c r="R30" s="881"/>
      <c r="S30" s="881"/>
      <c r="T30" s="881"/>
      <c r="U30" s="881"/>
      <c r="V30" s="881"/>
      <c r="W30" s="881"/>
      <c r="X30" s="881"/>
      <c r="Y30" s="881"/>
      <c r="Z30" s="881"/>
      <c r="AA30" s="881"/>
      <c r="AB30" s="881"/>
      <c r="AC30" s="881"/>
      <c r="AD30" s="881"/>
      <c r="AE30" s="881"/>
      <c r="AF30" s="881"/>
      <c r="AG30" s="881"/>
      <c r="AH30" s="881"/>
      <c r="AI30" s="881"/>
      <c r="AJ30" s="881"/>
      <c r="AK30" s="881"/>
      <c r="AL30" s="881"/>
      <c r="AM30" s="881"/>
      <c r="AN30" s="881"/>
      <c r="AO30" s="881"/>
    </row>
    <row r="31" spans="1:41" ht="25.5" customHeight="1" x14ac:dyDescent="0.2">
      <c r="B31" s="840" t="s">
        <v>302</v>
      </c>
      <c r="C31" s="841"/>
      <c r="D31" s="841"/>
      <c r="E31" s="841"/>
      <c r="F31" s="841"/>
      <c r="G31" s="841"/>
      <c r="H31" s="841"/>
      <c r="I31" s="841"/>
      <c r="J31" s="842"/>
      <c r="K31" s="877">
        <f>K27+K29</f>
        <v>0</v>
      </c>
      <c r="L31" s="878"/>
      <c r="M31" s="878"/>
      <c r="N31" s="878"/>
      <c r="O31" s="879"/>
      <c r="P31" s="134">
        <f>P27+P29</f>
        <v>0</v>
      </c>
      <c r="Q31" s="134"/>
      <c r="R31" s="134"/>
      <c r="S31" s="134"/>
      <c r="T31" s="134"/>
      <c r="U31" s="880">
        <f>U27+U29</f>
        <v>0</v>
      </c>
      <c r="V31" s="878"/>
      <c r="W31" s="878"/>
      <c r="X31" s="878"/>
      <c r="Y31" s="879"/>
      <c r="Z31" s="880">
        <f>Z29+Z27</f>
        <v>0</v>
      </c>
      <c r="AA31" s="878"/>
      <c r="AB31" s="878"/>
      <c r="AC31" s="878"/>
      <c r="AD31" s="928"/>
      <c r="AE31" s="877">
        <f>AE29+AE27</f>
        <v>0</v>
      </c>
      <c r="AF31" s="878"/>
      <c r="AG31" s="878"/>
      <c r="AH31" s="878"/>
      <c r="AI31" s="879"/>
      <c r="AJ31" s="880">
        <f>SUM(K31:AI31)</f>
        <v>0</v>
      </c>
      <c r="AK31" s="878"/>
      <c r="AL31" s="878"/>
      <c r="AM31" s="878"/>
      <c r="AN31" s="878"/>
      <c r="AO31" s="879"/>
    </row>
    <row r="32" spans="1:41" ht="8.25" customHeight="1" x14ac:dyDescent="0.2">
      <c r="B32" s="875"/>
      <c r="C32" s="875"/>
      <c r="D32" s="875"/>
      <c r="E32" s="875"/>
      <c r="F32" s="875"/>
      <c r="G32" s="875"/>
      <c r="H32" s="875"/>
      <c r="I32" s="875"/>
      <c r="J32" s="875"/>
      <c r="K32" s="875"/>
      <c r="L32" s="875"/>
      <c r="M32" s="875"/>
      <c r="N32" s="875"/>
      <c r="O32" s="875"/>
      <c r="P32" s="875"/>
      <c r="Q32" s="875"/>
      <c r="R32" s="875"/>
      <c r="S32" s="875"/>
      <c r="T32" s="875"/>
      <c r="U32" s="875"/>
      <c r="V32" s="875"/>
      <c r="W32" s="875"/>
      <c r="X32" s="875"/>
      <c r="Y32" s="875"/>
      <c r="Z32" s="875"/>
      <c r="AA32" s="875"/>
      <c r="AB32" s="875"/>
      <c r="AC32" s="875"/>
      <c r="AD32" s="875"/>
      <c r="AE32" s="875"/>
      <c r="AF32" s="875"/>
      <c r="AG32" s="875"/>
      <c r="AH32" s="875"/>
      <c r="AI32" s="875"/>
      <c r="AJ32" s="875"/>
      <c r="AK32" s="875"/>
      <c r="AL32" s="875"/>
      <c r="AM32" s="875"/>
      <c r="AN32" s="875"/>
      <c r="AO32" s="875"/>
    </row>
    <row r="33" spans="2:41" ht="33.75" customHeight="1" outlineLevel="1" x14ac:dyDescent="0.2">
      <c r="B33" s="868" t="s">
        <v>303</v>
      </c>
      <c r="C33" s="869"/>
      <c r="D33" s="869"/>
      <c r="E33" s="869"/>
      <c r="F33" s="869"/>
      <c r="G33" s="869"/>
      <c r="H33" s="869"/>
      <c r="I33" s="869"/>
      <c r="J33" s="870"/>
      <c r="K33" s="871">
        <f>'Budget Details'!AA211</f>
        <v>0</v>
      </c>
      <c r="L33" s="845"/>
      <c r="M33" s="845"/>
      <c r="N33" s="845"/>
      <c r="O33" s="845"/>
      <c r="P33" s="872">
        <f>'Budget Details'!AB211</f>
        <v>0</v>
      </c>
      <c r="Q33" s="873"/>
      <c r="R33" s="873"/>
      <c r="S33" s="873"/>
      <c r="T33" s="873"/>
      <c r="U33" s="845">
        <f>'Budget Details'!AC211</f>
        <v>0</v>
      </c>
      <c r="V33" s="845"/>
      <c r="W33" s="845"/>
      <c r="X33" s="845"/>
      <c r="Y33" s="845"/>
      <c r="Z33" s="845">
        <f>'Budget Details'!AD211</f>
        <v>0</v>
      </c>
      <c r="AA33" s="845"/>
      <c r="AB33" s="845"/>
      <c r="AC33" s="845"/>
      <c r="AD33" s="845"/>
      <c r="AE33" s="845">
        <f>'Budget Details'!AE211</f>
        <v>0</v>
      </c>
      <c r="AF33" s="845"/>
      <c r="AG33" s="845"/>
      <c r="AH33" s="845"/>
      <c r="AI33" s="845"/>
      <c r="AJ33" s="865">
        <f>SUM(K33:AI33)</f>
        <v>0</v>
      </c>
      <c r="AK33" s="866"/>
      <c r="AL33" s="866"/>
      <c r="AM33" s="866"/>
      <c r="AN33" s="866"/>
      <c r="AO33" s="866"/>
    </row>
    <row r="34" spans="2:41" ht="20.25" customHeight="1" outlineLevel="1" x14ac:dyDescent="0.2">
      <c r="B34" s="867" t="s">
        <v>304</v>
      </c>
      <c r="C34" s="867"/>
      <c r="D34" s="867"/>
      <c r="E34" s="867"/>
      <c r="F34" s="867"/>
      <c r="G34" s="867"/>
      <c r="H34" s="867"/>
      <c r="I34" s="867"/>
      <c r="J34" s="867"/>
      <c r="K34" s="882">
        <f>IFERROR((K33/K35),0)</f>
        <v>0</v>
      </c>
      <c r="L34" s="882"/>
      <c r="M34" s="882"/>
      <c r="N34" s="882"/>
      <c r="O34" s="882"/>
      <c r="P34" s="126">
        <f>IFERROR((P33/P35),0)</f>
        <v>0</v>
      </c>
      <c r="Q34" s="124"/>
      <c r="R34" s="124"/>
      <c r="S34" s="124"/>
      <c r="T34" s="124"/>
      <c r="U34" s="883">
        <f>IFERROR((U33/U35),0)</f>
        <v>0</v>
      </c>
      <c r="V34" s="883"/>
      <c r="W34" s="883"/>
      <c r="X34" s="883"/>
      <c r="Y34" s="883"/>
      <c r="Z34" s="883">
        <f>IFERROR((Z33/Z35),0)</f>
        <v>0</v>
      </c>
      <c r="AA34" s="883"/>
      <c r="AB34" s="883"/>
      <c r="AC34" s="883"/>
      <c r="AD34" s="883"/>
      <c r="AE34" s="883">
        <f>IFERROR((AE33/AE35),0)</f>
        <v>0</v>
      </c>
      <c r="AF34" s="883"/>
      <c r="AG34" s="883"/>
      <c r="AH34" s="883"/>
      <c r="AI34" s="883"/>
      <c r="AJ34" s="874">
        <f>IFERROR((AJ33/AJ35),0)</f>
        <v>0</v>
      </c>
      <c r="AK34" s="874"/>
      <c r="AL34" s="874"/>
      <c r="AM34" s="874"/>
      <c r="AN34" s="874"/>
      <c r="AO34" s="874"/>
    </row>
    <row r="35" spans="2:41" ht="25.5" customHeight="1" x14ac:dyDescent="0.2">
      <c r="B35" s="840" t="s">
        <v>305</v>
      </c>
      <c r="C35" s="841"/>
      <c r="D35" s="841"/>
      <c r="E35" s="841"/>
      <c r="F35" s="841"/>
      <c r="G35" s="841"/>
      <c r="H35" s="841"/>
      <c r="I35" s="841"/>
      <c r="J35" s="842"/>
      <c r="K35" s="843">
        <f>SUM(K31,K33)</f>
        <v>0</v>
      </c>
      <c r="L35" s="843"/>
      <c r="M35" s="843"/>
      <c r="N35" s="843"/>
      <c r="O35" s="843"/>
      <c r="P35" s="843">
        <f>SUM(P31,P33)</f>
        <v>0</v>
      </c>
      <c r="Q35" s="843"/>
      <c r="R35" s="843"/>
      <c r="S35" s="843"/>
      <c r="T35" s="843"/>
      <c r="U35" s="843">
        <f>SUM(U31,U33)</f>
        <v>0</v>
      </c>
      <c r="V35" s="843"/>
      <c r="W35" s="843"/>
      <c r="X35" s="843"/>
      <c r="Y35" s="843"/>
      <c r="Z35" s="846">
        <f>SUM(Z33,Z31)</f>
        <v>0</v>
      </c>
      <c r="AA35" s="847"/>
      <c r="AB35" s="847"/>
      <c r="AC35" s="847"/>
      <c r="AD35" s="848"/>
      <c r="AE35" s="846">
        <f>SUM(AE33,AE31)</f>
        <v>0</v>
      </c>
      <c r="AF35" s="847"/>
      <c r="AG35" s="847"/>
      <c r="AH35" s="847"/>
      <c r="AI35" s="848"/>
      <c r="AJ35" s="838">
        <f>SUM(AJ31,AJ33)</f>
        <v>0</v>
      </c>
      <c r="AK35" s="839"/>
      <c r="AL35" s="839"/>
      <c r="AM35" s="839"/>
      <c r="AN35" s="839"/>
      <c r="AO35" s="839"/>
    </row>
  </sheetData>
  <mergeCells count="171">
    <mergeCell ref="AE35:AI35"/>
    <mergeCell ref="Z28:AD28"/>
    <mergeCell ref="AE28:AI28"/>
    <mergeCell ref="Z31:AD31"/>
    <mergeCell ref="Z34:AD34"/>
    <mergeCell ref="AE34:AI34"/>
    <mergeCell ref="AE31:AI31"/>
    <mergeCell ref="AE10:AI10"/>
    <mergeCell ref="AE11:AI11"/>
    <mergeCell ref="AE12:AI12"/>
    <mergeCell ref="AE13:AI13"/>
    <mergeCell ref="AE14:AI14"/>
    <mergeCell ref="AE15:AI15"/>
    <mergeCell ref="AE16:AI16"/>
    <mergeCell ref="AE17:AI17"/>
    <mergeCell ref="AE18:AI18"/>
    <mergeCell ref="Z10:AD10"/>
    <mergeCell ref="Z11:AD11"/>
    <mergeCell ref="Z12:AD12"/>
    <mergeCell ref="Z13:AD13"/>
    <mergeCell ref="Z14:AD14"/>
    <mergeCell ref="Z15:AD15"/>
    <mergeCell ref="Z16:AD16"/>
    <mergeCell ref="Z17:AD17"/>
    <mergeCell ref="B10:J10"/>
    <mergeCell ref="B11:J11"/>
    <mergeCell ref="K10:O10"/>
    <mergeCell ref="U10:Y10"/>
    <mergeCell ref="AJ10:AO10"/>
    <mergeCell ref="K11:O11"/>
    <mergeCell ref="U11:Y11"/>
    <mergeCell ref="AJ11:AO11"/>
    <mergeCell ref="AJ12:AO12"/>
    <mergeCell ref="B12:J12"/>
    <mergeCell ref="K12:O12"/>
    <mergeCell ref="P12:T12"/>
    <mergeCell ref="U12:Y12"/>
    <mergeCell ref="B13:J13"/>
    <mergeCell ref="B14:J14"/>
    <mergeCell ref="K13:O13"/>
    <mergeCell ref="K14:O14"/>
    <mergeCell ref="U13:Y13"/>
    <mergeCell ref="U14:Y14"/>
    <mergeCell ref="AJ15:AO15"/>
    <mergeCell ref="U15:Y15"/>
    <mergeCell ref="P15:T15"/>
    <mergeCell ref="K15:O15"/>
    <mergeCell ref="B15:J15"/>
    <mergeCell ref="AJ13:AO13"/>
    <mergeCell ref="AJ14:AO14"/>
    <mergeCell ref="B9:J9"/>
    <mergeCell ref="K9:O9"/>
    <mergeCell ref="P9:T9"/>
    <mergeCell ref="U9:Y9"/>
    <mergeCell ref="AJ9:AO9"/>
    <mergeCell ref="B2:AO2"/>
    <mergeCell ref="B3:AO3"/>
    <mergeCell ref="B4:AO4"/>
    <mergeCell ref="K7:O8"/>
    <mergeCell ref="P7:T8"/>
    <mergeCell ref="U7:Y8"/>
    <mergeCell ref="AJ7:AO8"/>
    <mergeCell ref="Z7:AD8"/>
    <mergeCell ref="Z9:AD9"/>
    <mergeCell ref="AE7:AI8"/>
    <mergeCell ref="AE9:AI9"/>
    <mergeCell ref="B16:J16"/>
    <mergeCell ref="K16:O16"/>
    <mergeCell ref="P16:T16"/>
    <mergeCell ref="U16:Y16"/>
    <mergeCell ref="AJ16:AO16"/>
    <mergeCell ref="B20:J20"/>
    <mergeCell ref="K20:O20"/>
    <mergeCell ref="P20:T20"/>
    <mergeCell ref="B18:J18"/>
    <mergeCell ref="B19:J19"/>
    <mergeCell ref="K18:O18"/>
    <mergeCell ref="K19:O19"/>
    <mergeCell ref="Z19:AD19"/>
    <mergeCell ref="Z20:AD20"/>
    <mergeCell ref="AE19:AI19"/>
    <mergeCell ref="AE20:AI20"/>
    <mergeCell ref="AJ19:AO19"/>
    <mergeCell ref="Z18:AD18"/>
    <mergeCell ref="AJ21:AO21"/>
    <mergeCell ref="B17:J17"/>
    <mergeCell ref="K17:O17"/>
    <mergeCell ref="P17:T17"/>
    <mergeCell ref="U17:Y17"/>
    <mergeCell ref="AJ17:AO17"/>
    <mergeCell ref="B21:J21"/>
    <mergeCell ref="K21:O21"/>
    <mergeCell ref="P21:T21"/>
    <mergeCell ref="U21:Y21"/>
    <mergeCell ref="U20:Y20"/>
    <mergeCell ref="U18:Y18"/>
    <mergeCell ref="U19:Y19"/>
    <mergeCell ref="AJ18:AO18"/>
    <mergeCell ref="Z21:AD21"/>
    <mergeCell ref="AE21:AI21"/>
    <mergeCell ref="AJ20:AO20"/>
    <mergeCell ref="B26:AO26"/>
    <mergeCell ref="B24:J24"/>
    <mergeCell ref="K24:O24"/>
    <mergeCell ref="U24:Y24"/>
    <mergeCell ref="AJ24:AO24"/>
    <mergeCell ref="AJ33:AO33"/>
    <mergeCell ref="B34:J34"/>
    <mergeCell ref="B33:J33"/>
    <mergeCell ref="K33:O33"/>
    <mergeCell ref="P33:T33"/>
    <mergeCell ref="U33:Y33"/>
    <mergeCell ref="AJ34:AO34"/>
    <mergeCell ref="B32:AO32"/>
    <mergeCell ref="AJ29:AO29"/>
    <mergeCell ref="B31:J31"/>
    <mergeCell ref="K31:O31"/>
    <mergeCell ref="U31:Y31"/>
    <mergeCell ref="AJ31:AO31"/>
    <mergeCell ref="B30:AO30"/>
    <mergeCell ref="K34:O34"/>
    <mergeCell ref="U34:Y34"/>
    <mergeCell ref="AJ25:AO25"/>
    <mergeCell ref="AJ27:AO27"/>
    <mergeCell ref="B27:J27"/>
    <mergeCell ref="AJ22:AO22"/>
    <mergeCell ref="B25:J25"/>
    <mergeCell ref="K25:O25"/>
    <mergeCell ref="P25:T25"/>
    <mergeCell ref="U25:Y25"/>
    <mergeCell ref="B23:J23"/>
    <mergeCell ref="K23:O23"/>
    <mergeCell ref="P23:T23"/>
    <mergeCell ref="U23:Y23"/>
    <mergeCell ref="AJ23:AO23"/>
    <mergeCell ref="B22:J22"/>
    <mergeCell ref="K22:O22"/>
    <mergeCell ref="P22:T22"/>
    <mergeCell ref="U22:Y22"/>
    <mergeCell ref="Z22:AD22"/>
    <mergeCell ref="Z23:AD23"/>
    <mergeCell ref="Z24:AD24"/>
    <mergeCell ref="Z25:AD25"/>
    <mergeCell ref="AE22:AI22"/>
    <mergeCell ref="AE23:AI23"/>
    <mergeCell ref="AE24:AI24"/>
    <mergeCell ref="AE25:AI25"/>
    <mergeCell ref="AJ28:AO28"/>
    <mergeCell ref="K28:O28"/>
    <mergeCell ref="P28:T28"/>
    <mergeCell ref="U28:Y28"/>
    <mergeCell ref="K27:O27"/>
    <mergeCell ref="P27:T27"/>
    <mergeCell ref="AJ35:AO35"/>
    <mergeCell ref="B29:J29"/>
    <mergeCell ref="K29:O29"/>
    <mergeCell ref="B28:J28"/>
    <mergeCell ref="U27:Y27"/>
    <mergeCell ref="P29:T29"/>
    <mergeCell ref="U29:Y29"/>
    <mergeCell ref="B35:J35"/>
    <mergeCell ref="K35:O35"/>
    <mergeCell ref="P35:T35"/>
    <mergeCell ref="U35:Y35"/>
    <mergeCell ref="Z27:AD27"/>
    <mergeCell ref="AE27:AI27"/>
    <mergeCell ref="Z29:AD29"/>
    <mergeCell ref="AE29:AI29"/>
    <mergeCell ref="Z33:AD33"/>
    <mergeCell ref="AE33:AI33"/>
    <mergeCell ref="Z35:AD3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B4C9-EF9D-444F-8908-10893B60185A}">
  <sheetPr>
    <tabColor rgb="FFA8BFAE"/>
  </sheetPr>
  <dimension ref="B1:V26"/>
  <sheetViews>
    <sheetView workbookViewId="0">
      <selection activeCell="B21" sqref="B21"/>
    </sheetView>
  </sheetViews>
  <sheetFormatPr defaultRowHeight="25.5" customHeight="1" x14ac:dyDescent="0.2"/>
  <cols>
    <col min="1" max="1" width="2.85546875" customWidth="1"/>
    <col min="2" max="2" width="29.7109375" customWidth="1"/>
    <col min="3" max="3" width="13.140625" customWidth="1"/>
    <col min="4" max="4" width="12.7109375" customWidth="1"/>
    <col min="5" max="6" width="12.85546875" customWidth="1"/>
    <col min="7" max="8" width="13.42578125" bestFit="1" customWidth="1"/>
    <col min="9" max="9" width="10.140625" bestFit="1" customWidth="1"/>
    <col min="10" max="10" width="14.5703125" bestFit="1" customWidth="1"/>
    <col min="11" max="11" width="11.85546875" bestFit="1" customWidth="1"/>
    <col min="12" max="12" width="14.5703125" bestFit="1" customWidth="1"/>
    <col min="13" max="13" width="11.5703125" bestFit="1" customWidth="1"/>
    <col min="14" max="14" width="12.7109375" bestFit="1" customWidth="1"/>
    <col min="15" max="15" width="10.42578125" bestFit="1" customWidth="1"/>
    <col min="16" max="16" width="8" bestFit="1" customWidth="1"/>
    <col min="17" max="17" width="14.5703125" customWidth="1"/>
    <col min="18" max="18" width="12.140625" bestFit="1" customWidth="1"/>
    <col min="19" max="19" width="13" customWidth="1"/>
    <col min="20" max="20" width="15.7109375" customWidth="1"/>
  </cols>
  <sheetData>
    <row r="1" spans="2:22" ht="38.25" customHeight="1" x14ac:dyDescent="0.3">
      <c r="B1" s="936" t="s">
        <v>306</v>
      </c>
      <c r="C1" s="936"/>
      <c r="D1" s="936"/>
      <c r="E1" s="936"/>
      <c r="F1" s="117"/>
      <c r="G1" s="117"/>
      <c r="H1" s="117"/>
      <c r="I1" s="117"/>
      <c r="J1" s="117"/>
      <c r="K1" s="117"/>
      <c r="L1" s="117"/>
      <c r="M1" s="117"/>
      <c r="N1" s="117"/>
      <c r="O1" s="117"/>
      <c r="P1" s="117"/>
      <c r="Q1" s="117"/>
      <c r="R1" s="117"/>
      <c r="S1" s="117"/>
      <c r="T1" s="117"/>
      <c r="U1" s="117"/>
      <c r="V1" s="2"/>
    </row>
    <row r="2" spans="2:22" ht="25.5" customHeight="1" x14ac:dyDescent="0.3">
      <c r="B2" s="117"/>
      <c r="C2" s="932" t="s">
        <v>307</v>
      </c>
      <c r="D2" s="932"/>
      <c r="E2" s="932"/>
      <c r="F2" s="933" t="s">
        <v>308</v>
      </c>
      <c r="G2" s="933"/>
      <c r="H2" s="933"/>
      <c r="I2" s="933"/>
      <c r="J2" s="933"/>
      <c r="K2" s="933"/>
      <c r="L2" s="206"/>
      <c r="M2" s="937" t="s">
        <v>309</v>
      </c>
      <c r="N2" s="937"/>
      <c r="O2" s="937"/>
      <c r="P2" s="937"/>
      <c r="Q2" s="937"/>
      <c r="R2" s="937"/>
      <c r="S2" s="937"/>
      <c r="T2" s="930" t="s">
        <v>288</v>
      </c>
      <c r="U2" s="117"/>
    </row>
    <row r="3" spans="2:22" ht="60" x14ac:dyDescent="0.25">
      <c r="B3" s="117" t="s">
        <v>310</v>
      </c>
      <c r="C3" s="129" t="s">
        <v>311</v>
      </c>
      <c r="D3" s="129" t="s">
        <v>312</v>
      </c>
      <c r="E3" s="129" t="s">
        <v>313</v>
      </c>
      <c r="F3" s="130" t="s">
        <v>314</v>
      </c>
      <c r="G3" s="130" t="s">
        <v>315</v>
      </c>
      <c r="H3" s="130" t="s">
        <v>316</v>
      </c>
      <c r="I3" s="130" t="s">
        <v>317</v>
      </c>
      <c r="J3" s="130" t="s">
        <v>318</v>
      </c>
      <c r="K3" s="130" t="s">
        <v>319</v>
      </c>
      <c r="L3" s="130" t="s">
        <v>320</v>
      </c>
      <c r="M3" s="131" t="s">
        <v>321</v>
      </c>
      <c r="N3" s="131" t="s">
        <v>322</v>
      </c>
      <c r="O3" s="131" t="s">
        <v>323</v>
      </c>
      <c r="P3" s="131" t="s">
        <v>324</v>
      </c>
      <c r="Q3" s="131" t="s">
        <v>325</v>
      </c>
      <c r="R3" s="131" t="s">
        <v>326</v>
      </c>
      <c r="S3" s="131" t="s">
        <v>327</v>
      </c>
      <c r="T3" s="931"/>
      <c r="U3" s="117"/>
    </row>
    <row r="4" spans="2:22" ht="25.5" customHeight="1" x14ac:dyDescent="0.25">
      <c r="B4" s="117" t="s">
        <v>328</v>
      </c>
      <c r="C4" s="315"/>
      <c r="D4" s="315"/>
      <c r="E4" s="127">
        <f>D4-1</f>
        <v>-1</v>
      </c>
      <c r="F4" s="316"/>
      <c r="G4" s="316"/>
      <c r="H4" s="128">
        <f>G4*0.75</f>
        <v>0</v>
      </c>
      <c r="I4" s="316"/>
      <c r="J4" s="316"/>
      <c r="K4" s="316"/>
      <c r="L4" s="316"/>
      <c r="M4" s="128">
        <f t="shared" ref="M4:M13" si="0">(H4*2)*C4</f>
        <v>0</v>
      </c>
      <c r="N4" s="153">
        <f t="shared" ref="N4:N13" si="1">IF(D4=1,H4-M4,(D4-2)*(G4*C4))</f>
        <v>0</v>
      </c>
      <c r="O4" s="153">
        <f t="shared" ref="O4:O13" si="2">C4*F4</f>
        <v>0</v>
      </c>
      <c r="P4" s="153">
        <f t="shared" ref="P4:P13" si="3">C4*(I4*E4)</f>
        <v>0</v>
      </c>
      <c r="Q4" s="153">
        <f>C4*J4</f>
        <v>0</v>
      </c>
      <c r="R4" s="153">
        <f t="shared" ref="R4:R13" si="4">K4*C4</f>
        <v>0</v>
      </c>
      <c r="S4" s="153">
        <f t="shared" ref="S4:S13" si="5">C4*L4</f>
        <v>0</v>
      </c>
      <c r="T4" s="153">
        <f t="shared" ref="T4:T13" si="6">SUM(M4:S4)</f>
        <v>0</v>
      </c>
      <c r="U4" s="117"/>
    </row>
    <row r="5" spans="2:22" ht="25.5" customHeight="1" x14ac:dyDescent="0.25">
      <c r="B5" s="117" t="s">
        <v>329</v>
      </c>
      <c r="C5" s="315"/>
      <c r="D5" s="315"/>
      <c r="E5" s="127">
        <f t="shared" ref="E5:E13" si="7">D5-1</f>
        <v>-1</v>
      </c>
      <c r="F5" s="316"/>
      <c r="G5" s="316"/>
      <c r="H5" s="128">
        <f t="shared" ref="H5:H13" si="8">G5*0.75</f>
        <v>0</v>
      </c>
      <c r="I5" s="316"/>
      <c r="J5" s="316"/>
      <c r="K5" s="316"/>
      <c r="L5" s="316"/>
      <c r="M5" s="128">
        <f t="shared" si="0"/>
        <v>0</v>
      </c>
      <c r="N5" s="153">
        <f t="shared" si="1"/>
        <v>0</v>
      </c>
      <c r="O5" s="153">
        <f t="shared" si="2"/>
        <v>0</v>
      </c>
      <c r="P5" s="153">
        <f t="shared" si="3"/>
        <v>0</v>
      </c>
      <c r="Q5" s="153">
        <f t="shared" ref="Q5:Q13" si="9">C5*J5</f>
        <v>0</v>
      </c>
      <c r="R5" s="153">
        <f t="shared" si="4"/>
        <v>0</v>
      </c>
      <c r="S5" s="153">
        <f t="shared" si="5"/>
        <v>0</v>
      </c>
      <c r="T5" s="153">
        <f t="shared" si="6"/>
        <v>0</v>
      </c>
      <c r="U5" s="117"/>
    </row>
    <row r="6" spans="2:22" ht="25.5" customHeight="1" x14ac:dyDescent="0.25">
      <c r="B6" s="117" t="s">
        <v>330</v>
      </c>
      <c r="C6" s="315"/>
      <c r="D6" s="315"/>
      <c r="E6" s="127">
        <f t="shared" si="7"/>
        <v>-1</v>
      </c>
      <c r="F6" s="316"/>
      <c r="G6" s="316"/>
      <c r="H6" s="128">
        <f t="shared" si="8"/>
        <v>0</v>
      </c>
      <c r="I6" s="316"/>
      <c r="J6" s="316"/>
      <c r="K6" s="316"/>
      <c r="L6" s="316"/>
      <c r="M6" s="128">
        <f t="shared" si="0"/>
        <v>0</v>
      </c>
      <c r="N6" s="153">
        <f t="shared" si="1"/>
        <v>0</v>
      </c>
      <c r="O6" s="153">
        <f t="shared" si="2"/>
        <v>0</v>
      </c>
      <c r="P6" s="153">
        <f t="shared" si="3"/>
        <v>0</v>
      </c>
      <c r="Q6" s="153">
        <f t="shared" si="9"/>
        <v>0</v>
      </c>
      <c r="R6" s="153">
        <f t="shared" si="4"/>
        <v>0</v>
      </c>
      <c r="S6" s="153">
        <f t="shared" si="5"/>
        <v>0</v>
      </c>
      <c r="T6" s="153">
        <f t="shared" si="6"/>
        <v>0</v>
      </c>
      <c r="U6" s="117"/>
    </row>
    <row r="7" spans="2:22" ht="25.5" customHeight="1" x14ac:dyDescent="0.25">
      <c r="B7" s="117" t="s">
        <v>331</v>
      </c>
      <c r="C7" s="315"/>
      <c r="D7" s="315"/>
      <c r="E7" s="127">
        <f t="shared" si="7"/>
        <v>-1</v>
      </c>
      <c r="F7" s="316"/>
      <c r="G7" s="316"/>
      <c r="H7" s="128">
        <f t="shared" si="8"/>
        <v>0</v>
      </c>
      <c r="I7" s="316"/>
      <c r="J7" s="316"/>
      <c r="K7" s="316"/>
      <c r="L7" s="316"/>
      <c r="M7" s="128">
        <f t="shared" si="0"/>
        <v>0</v>
      </c>
      <c r="N7" s="153">
        <f t="shared" si="1"/>
        <v>0</v>
      </c>
      <c r="O7" s="153">
        <f t="shared" si="2"/>
        <v>0</v>
      </c>
      <c r="P7" s="153">
        <f t="shared" si="3"/>
        <v>0</v>
      </c>
      <c r="Q7" s="153">
        <f t="shared" si="9"/>
        <v>0</v>
      </c>
      <c r="R7" s="153">
        <f t="shared" si="4"/>
        <v>0</v>
      </c>
      <c r="S7" s="153">
        <f t="shared" si="5"/>
        <v>0</v>
      </c>
      <c r="T7" s="153">
        <f t="shared" si="6"/>
        <v>0</v>
      </c>
      <c r="U7" s="117"/>
    </row>
    <row r="8" spans="2:22" ht="25.5" customHeight="1" x14ac:dyDescent="0.25">
      <c r="B8" s="117" t="s">
        <v>332</v>
      </c>
      <c r="C8" s="315"/>
      <c r="D8" s="315"/>
      <c r="E8" s="127">
        <f t="shared" si="7"/>
        <v>-1</v>
      </c>
      <c r="F8" s="316"/>
      <c r="G8" s="316"/>
      <c r="H8" s="128">
        <f t="shared" si="8"/>
        <v>0</v>
      </c>
      <c r="I8" s="316"/>
      <c r="J8" s="316"/>
      <c r="K8" s="316"/>
      <c r="L8" s="316"/>
      <c r="M8" s="128">
        <f t="shared" si="0"/>
        <v>0</v>
      </c>
      <c r="N8" s="153">
        <f t="shared" si="1"/>
        <v>0</v>
      </c>
      <c r="O8" s="153">
        <f t="shared" si="2"/>
        <v>0</v>
      </c>
      <c r="P8" s="153">
        <f t="shared" si="3"/>
        <v>0</v>
      </c>
      <c r="Q8" s="153">
        <f t="shared" si="9"/>
        <v>0</v>
      </c>
      <c r="R8" s="153">
        <f t="shared" si="4"/>
        <v>0</v>
      </c>
      <c r="S8" s="153">
        <f t="shared" si="5"/>
        <v>0</v>
      </c>
      <c r="T8" s="153">
        <f t="shared" si="6"/>
        <v>0</v>
      </c>
      <c r="U8" s="117"/>
    </row>
    <row r="9" spans="2:22" ht="25.5" customHeight="1" x14ac:dyDescent="0.25">
      <c r="B9" s="117" t="s">
        <v>333</v>
      </c>
      <c r="C9" s="315"/>
      <c r="D9" s="315"/>
      <c r="E9" s="127">
        <f t="shared" si="7"/>
        <v>-1</v>
      </c>
      <c r="F9" s="316"/>
      <c r="G9" s="316"/>
      <c r="H9" s="128">
        <f t="shared" si="8"/>
        <v>0</v>
      </c>
      <c r="I9" s="316"/>
      <c r="J9" s="316"/>
      <c r="K9" s="316"/>
      <c r="L9" s="316"/>
      <c r="M9" s="128">
        <f t="shared" si="0"/>
        <v>0</v>
      </c>
      <c r="N9" s="153">
        <f t="shared" si="1"/>
        <v>0</v>
      </c>
      <c r="O9" s="153">
        <f t="shared" si="2"/>
        <v>0</v>
      </c>
      <c r="P9" s="153">
        <f t="shared" si="3"/>
        <v>0</v>
      </c>
      <c r="Q9" s="153">
        <f t="shared" si="9"/>
        <v>0</v>
      </c>
      <c r="R9" s="153">
        <f t="shared" si="4"/>
        <v>0</v>
      </c>
      <c r="S9" s="153">
        <f t="shared" si="5"/>
        <v>0</v>
      </c>
      <c r="T9" s="153">
        <f t="shared" si="6"/>
        <v>0</v>
      </c>
      <c r="U9" s="117"/>
    </row>
    <row r="10" spans="2:22" ht="25.5" customHeight="1" x14ac:dyDescent="0.25">
      <c r="B10" s="117" t="s">
        <v>334</v>
      </c>
      <c r="C10" s="315"/>
      <c r="D10" s="315"/>
      <c r="E10" s="127">
        <f t="shared" si="7"/>
        <v>-1</v>
      </c>
      <c r="F10" s="316"/>
      <c r="G10" s="316"/>
      <c r="H10" s="128">
        <f t="shared" si="8"/>
        <v>0</v>
      </c>
      <c r="I10" s="316"/>
      <c r="J10" s="316"/>
      <c r="K10" s="316"/>
      <c r="L10" s="316"/>
      <c r="M10" s="128">
        <f t="shared" si="0"/>
        <v>0</v>
      </c>
      <c r="N10" s="153">
        <f t="shared" si="1"/>
        <v>0</v>
      </c>
      <c r="O10" s="153">
        <f t="shared" si="2"/>
        <v>0</v>
      </c>
      <c r="P10" s="153">
        <f t="shared" si="3"/>
        <v>0</v>
      </c>
      <c r="Q10" s="153">
        <f t="shared" si="9"/>
        <v>0</v>
      </c>
      <c r="R10" s="153">
        <f t="shared" si="4"/>
        <v>0</v>
      </c>
      <c r="S10" s="153">
        <f t="shared" si="5"/>
        <v>0</v>
      </c>
      <c r="T10" s="153">
        <f t="shared" si="6"/>
        <v>0</v>
      </c>
      <c r="U10" s="117"/>
    </row>
    <row r="11" spans="2:22" ht="25.5" customHeight="1" x14ac:dyDescent="0.25">
      <c r="B11" s="117" t="s">
        <v>335</v>
      </c>
      <c r="C11" s="315"/>
      <c r="D11" s="315"/>
      <c r="E11" s="127">
        <f t="shared" si="7"/>
        <v>-1</v>
      </c>
      <c r="F11" s="316"/>
      <c r="G11" s="316"/>
      <c r="H11" s="128">
        <f t="shared" si="8"/>
        <v>0</v>
      </c>
      <c r="I11" s="316"/>
      <c r="J11" s="316"/>
      <c r="K11" s="316"/>
      <c r="L11" s="316"/>
      <c r="M11" s="128">
        <f t="shared" si="0"/>
        <v>0</v>
      </c>
      <c r="N11" s="153">
        <f t="shared" si="1"/>
        <v>0</v>
      </c>
      <c r="O11" s="153">
        <f t="shared" si="2"/>
        <v>0</v>
      </c>
      <c r="P11" s="153">
        <f t="shared" si="3"/>
        <v>0</v>
      </c>
      <c r="Q11" s="153">
        <f t="shared" si="9"/>
        <v>0</v>
      </c>
      <c r="R11" s="153">
        <f t="shared" si="4"/>
        <v>0</v>
      </c>
      <c r="S11" s="153">
        <f t="shared" si="5"/>
        <v>0</v>
      </c>
      <c r="T11" s="153">
        <f t="shared" si="6"/>
        <v>0</v>
      </c>
      <c r="U11" s="117"/>
    </row>
    <row r="12" spans="2:22" ht="25.5" customHeight="1" x14ac:dyDescent="0.25">
      <c r="B12" s="117" t="s">
        <v>336</v>
      </c>
      <c r="C12" s="315"/>
      <c r="D12" s="315"/>
      <c r="E12" s="127">
        <f t="shared" si="7"/>
        <v>-1</v>
      </c>
      <c r="F12" s="316"/>
      <c r="G12" s="316"/>
      <c r="H12" s="128">
        <f t="shared" si="8"/>
        <v>0</v>
      </c>
      <c r="I12" s="316"/>
      <c r="J12" s="316"/>
      <c r="K12" s="316"/>
      <c r="L12" s="316"/>
      <c r="M12" s="128">
        <f t="shared" si="0"/>
        <v>0</v>
      </c>
      <c r="N12" s="153">
        <f t="shared" si="1"/>
        <v>0</v>
      </c>
      <c r="O12" s="153">
        <f t="shared" si="2"/>
        <v>0</v>
      </c>
      <c r="P12" s="153">
        <f t="shared" si="3"/>
        <v>0</v>
      </c>
      <c r="Q12" s="153">
        <f t="shared" si="9"/>
        <v>0</v>
      </c>
      <c r="R12" s="153">
        <f t="shared" si="4"/>
        <v>0</v>
      </c>
      <c r="S12" s="153">
        <f t="shared" si="5"/>
        <v>0</v>
      </c>
      <c r="T12" s="153">
        <f t="shared" si="6"/>
        <v>0</v>
      </c>
      <c r="U12" s="117"/>
    </row>
    <row r="13" spans="2:22" ht="25.5" customHeight="1" x14ac:dyDescent="0.25">
      <c r="B13" s="117" t="s">
        <v>337</v>
      </c>
      <c r="C13" s="315"/>
      <c r="D13" s="315"/>
      <c r="E13" s="127">
        <f t="shared" si="7"/>
        <v>-1</v>
      </c>
      <c r="F13" s="316"/>
      <c r="G13" s="316"/>
      <c r="H13" s="128">
        <f t="shared" si="8"/>
        <v>0</v>
      </c>
      <c r="I13" s="316"/>
      <c r="J13" s="316"/>
      <c r="K13" s="316"/>
      <c r="L13" s="316"/>
      <c r="M13" s="128">
        <f t="shared" si="0"/>
        <v>0</v>
      </c>
      <c r="N13" s="153">
        <f t="shared" si="1"/>
        <v>0</v>
      </c>
      <c r="O13" s="153">
        <f t="shared" si="2"/>
        <v>0</v>
      </c>
      <c r="P13" s="153">
        <f t="shared" si="3"/>
        <v>0</v>
      </c>
      <c r="Q13" s="153">
        <f t="shared" si="9"/>
        <v>0</v>
      </c>
      <c r="R13" s="153">
        <f t="shared" si="4"/>
        <v>0</v>
      </c>
      <c r="S13" s="153">
        <f t="shared" si="5"/>
        <v>0</v>
      </c>
      <c r="T13" s="153">
        <f t="shared" si="6"/>
        <v>0</v>
      </c>
      <c r="U13" s="117"/>
    </row>
    <row r="14" spans="2:22" ht="25.5" customHeight="1" x14ac:dyDescent="0.25">
      <c r="B14" s="117"/>
      <c r="C14" s="117"/>
      <c r="D14" s="117"/>
      <c r="E14" s="117"/>
      <c r="F14" s="117"/>
      <c r="G14" s="117"/>
      <c r="H14" s="117"/>
      <c r="I14" s="117"/>
      <c r="J14" s="117"/>
      <c r="K14" s="117"/>
      <c r="L14" s="117"/>
      <c r="M14" s="117"/>
      <c r="N14" s="117"/>
      <c r="O14" s="117"/>
      <c r="P14" s="117"/>
      <c r="Q14" s="117"/>
      <c r="R14" s="117"/>
      <c r="S14" s="117"/>
      <c r="T14" s="117"/>
      <c r="U14" s="117"/>
    </row>
    <row r="15" spans="2:22" ht="25.5" customHeight="1" thickBot="1" x14ac:dyDescent="0.3">
      <c r="B15" s="507" t="s">
        <v>338</v>
      </c>
      <c r="T15" s="154">
        <f>SUM(T4:T13)</f>
        <v>0</v>
      </c>
    </row>
    <row r="16" spans="2:22" ht="25.5" customHeight="1" thickTop="1" x14ac:dyDescent="0.2"/>
    <row r="18" spans="2:18" ht="25.5" customHeight="1" x14ac:dyDescent="0.35">
      <c r="B18" s="318" t="s">
        <v>339</v>
      </c>
      <c r="C18" s="938" t="s">
        <v>340</v>
      </c>
      <c r="D18" s="938"/>
      <c r="E18" s="938"/>
      <c r="F18" s="938"/>
      <c r="G18" s="938"/>
      <c r="H18" s="938"/>
      <c r="I18" s="1"/>
    </row>
    <row r="19" spans="2:18" ht="25.5" customHeight="1" x14ac:dyDescent="0.25">
      <c r="B19" s="317"/>
      <c r="C19" s="934" t="s">
        <v>341</v>
      </c>
      <c r="D19" s="934"/>
      <c r="E19" s="934"/>
      <c r="F19" s="934"/>
      <c r="G19" s="934"/>
      <c r="H19" s="934"/>
      <c r="I19" s="1"/>
      <c r="J19" s="1"/>
      <c r="K19" s="1"/>
      <c r="L19" s="1"/>
      <c r="M19" s="1"/>
      <c r="N19" s="1"/>
      <c r="O19" s="1"/>
      <c r="P19" s="1"/>
      <c r="Q19" s="1"/>
      <c r="R19" s="1"/>
    </row>
    <row r="20" spans="2:18" ht="25.5" customHeight="1" x14ac:dyDescent="0.25">
      <c r="B20" s="317"/>
      <c r="C20" s="934" t="s">
        <v>342</v>
      </c>
      <c r="D20" s="934"/>
      <c r="E20" s="934"/>
      <c r="F20" s="934"/>
      <c r="G20" s="934"/>
      <c r="H20" s="934"/>
      <c r="I20" s="207"/>
      <c r="J20" s="207"/>
      <c r="K20" s="207"/>
      <c r="L20" s="207"/>
      <c r="M20" s="207"/>
      <c r="N20" s="207"/>
      <c r="O20" s="207"/>
      <c r="P20" s="207"/>
      <c r="Q20" s="207"/>
      <c r="R20" s="207"/>
    </row>
    <row r="21" spans="2:18" ht="25.5" customHeight="1" x14ac:dyDescent="0.25">
      <c r="B21" s="317"/>
      <c r="C21" s="934" t="s">
        <v>343</v>
      </c>
      <c r="D21" s="934"/>
      <c r="E21" s="934"/>
      <c r="F21" s="934"/>
      <c r="G21" s="934"/>
      <c r="H21" s="934"/>
      <c r="I21" s="208"/>
      <c r="J21" s="208"/>
      <c r="K21" s="208"/>
      <c r="L21" s="208"/>
      <c r="M21" s="208"/>
      <c r="N21" s="208"/>
      <c r="O21" s="208"/>
      <c r="P21" s="208"/>
      <c r="Q21" s="208"/>
      <c r="R21" s="208"/>
    </row>
    <row r="22" spans="2:18" ht="25.5" customHeight="1" x14ac:dyDescent="0.25">
      <c r="B22" s="317"/>
      <c r="C22" s="935" t="s">
        <v>344</v>
      </c>
      <c r="D22" s="935"/>
      <c r="E22" s="935"/>
      <c r="F22" s="935"/>
      <c r="G22" s="935"/>
      <c r="H22" s="935"/>
      <c r="I22" s="207"/>
      <c r="J22" s="207"/>
      <c r="K22" s="207"/>
      <c r="L22" s="207"/>
      <c r="M22" s="207"/>
      <c r="N22" s="207"/>
      <c r="O22" s="207"/>
      <c r="P22" s="207"/>
      <c r="Q22" s="207"/>
      <c r="R22" s="207"/>
    </row>
    <row r="23" spans="2:18" ht="25.5" customHeight="1" x14ac:dyDescent="0.25">
      <c r="D23" s="502"/>
      <c r="E23" s="502"/>
      <c r="F23" s="502"/>
      <c r="G23" s="502"/>
      <c r="H23" s="503"/>
      <c r="I23" s="503"/>
      <c r="J23" s="503"/>
      <c r="K23" s="503"/>
      <c r="L23" s="503"/>
      <c r="M23" s="503"/>
      <c r="N23" s="504"/>
      <c r="O23" s="504"/>
      <c r="P23" s="208"/>
      <c r="Q23" s="208"/>
      <c r="R23" s="208"/>
    </row>
    <row r="24" spans="2:18" ht="25.5" customHeight="1" x14ac:dyDescent="0.25">
      <c r="C24" s="502" t="s">
        <v>345</v>
      </c>
      <c r="G24" s="1"/>
      <c r="H24" s="207"/>
      <c r="I24" s="207"/>
      <c r="J24" s="207"/>
      <c r="K24" s="207"/>
      <c r="L24" s="207"/>
      <c r="M24" s="207"/>
      <c r="N24" s="207"/>
      <c r="O24" s="207"/>
      <c r="P24" s="207"/>
      <c r="Q24" s="207"/>
      <c r="R24" s="207"/>
    </row>
    <row r="25" spans="2:18" ht="25.5" customHeight="1" x14ac:dyDescent="0.25">
      <c r="C25" s="505" t="s">
        <v>346</v>
      </c>
      <c r="D25" s="505"/>
      <c r="E25" s="505"/>
      <c r="F25" s="505"/>
      <c r="G25" s="505"/>
      <c r="H25" s="506"/>
      <c r="I25" s="506"/>
      <c r="J25" s="506"/>
      <c r="K25" s="506"/>
      <c r="L25" s="506"/>
      <c r="M25" s="506"/>
      <c r="N25" s="506"/>
      <c r="O25" s="506"/>
      <c r="P25" s="208"/>
      <c r="Q25" s="208"/>
      <c r="R25" s="208"/>
    </row>
    <row r="26" spans="2:18" ht="25.5" customHeight="1" x14ac:dyDescent="0.2">
      <c r="G26" s="1"/>
      <c r="H26" s="207"/>
      <c r="I26" s="207"/>
      <c r="J26" s="207"/>
      <c r="K26" s="207"/>
      <c r="L26" s="207"/>
      <c r="M26" s="207"/>
      <c r="N26" s="207"/>
      <c r="O26" s="207"/>
      <c r="P26" s="207"/>
      <c r="Q26" s="207"/>
      <c r="R26" s="207"/>
    </row>
  </sheetData>
  <mergeCells count="10">
    <mergeCell ref="B1:E1"/>
    <mergeCell ref="M2:S2"/>
    <mergeCell ref="C20:H20"/>
    <mergeCell ref="C18:H18"/>
    <mergeCell ref="C21:H21"/>
    <mergeCell ref="T2:T3"/>
    <mergeCell ref="C2:E2"/>
    <mergeCell ref="F2:K2"/>
    <mergeCell ref="C19:H19"/>
    <mergeCell ref="C22:H22"/>
  </mergeCells>
  <phoneticPr fontId="7" type="noConversion"/>
  <hyperlinks>
    <hyperlink ref="C21" r:id="rId1" location=":~:text=information%20technology%20solutions-,PER%20DIEM%20LOOK%2DUP,-1%20Choose%20a" display="Per Diem Loop-up based on Travel Destination" xr:uid="{17B926D8-C2A4-46C0-AE36-5CF69F3BCE34}"/>
    <hyperlink ref="C19" r:id="rId2" xr:uid="{7060C1CB-92DF-4441-B21E-947D6CB689CD}"/>
    <hyperlink ref="C20" r:id="rId3" display="Arizona General Accounting Office Travel Policies" xr:uid="{A66D3759-284F-44C9-B322-C877D4101D18}"/>
    <hyperlink ref="C20:H20" r:id="rId4" location=":~:text=General%20Travel%20Principles%20and%20Policies" display="Arizona General Accounting Office Travel Policies" xr:uid="{A1C6357D-988E-439C-B808-E3D5E126CD10}"/>
    <hyperlink ref="C22" r:id="rId5" xr:uid="{14BA19AA-4277-4F9C-B20F-FADDC5D6E41E}"/>
  </hyperlinks>
  <pageMargins left="0.7" right="0.7" top="0.75" bottom="0.75" header="0.3" footer="0.3"/>
  <pageSetup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43085-08BD-42EE-9FB8-C4A205C5CCC4}">
  <sheetPr>
    <tabColor theme="6" tint="0.39997558519241921"/>
  </sheetPr>
  <dimension ref="A1:T66"/>
  <sheetViews>
    <sheetView showGridLines="0" workbookViewId="0">
      <selection activeCell="K6" sqref="K6"/>
    </sheetView>
  </sheetViews>
  <sheetFormatPr defaultColWidth="15.7109375" defaultRowHeight="19.5" customHeight="1" outlineLevelRow="1" outlineLevelCol="1" x14ac:dyDescent="0.2"/>
  <cols>
    <col min="1" max="1" width="3.28515625" customWidth="1"/>
    <col min="3" max="3" width="16.7109375" bestFit="1" customWidth="1"/>
    <col min="11" max="11" width="15.7109375" hidden="1" customWidth="1" outlineLevel="1"/>
    <col min="12" max="12" width="16.7109375" hidden="1" customWidth="1" outlineLevel="1"/>
    <col min="13" max="18" width="15.7109375" hidden="1" customWidth="1" outlineLevel="1"/>
    <col min="19" max="19" width="15.7109375" collapsed="1"/>
    <col min="20" max="20" width="17.7109375" customWidth="1"/>
  </cols>
  <sheetData>
    <row r="1" spans="1:20" ht="30.75" customHeight="1" x14ac:dyDescent="0.4">
      <c r="A1" s="946" t="s">
        <v>347</v>
      </c>
      <c r="B1" s="946"/>
      <c r="C1" s="946"/>
      <c r="D1" s="946"/>
      <c r="E1" s="946"/>
    </row>
    <row r="2" spans="1:20" ht="30.75" customHeight="1" x14ac:dyDescent="0.4">
      <c r="A2" s="485"/>
      <c r="B2" s="485"/>
      <c r="C2" s="485"/>
      <c r="D2" s="485"/>
      <c r="E2" s="485"/>
      <c r="S2" s="486" t="s">
        <v>101</v>
      </c>
      <c r="T2" s="486"/>
    </row>
    <row r="3" spans="1:20" ht="19.5" customHeight="1" thickBot="1" x14ac:dyDescent="0.35">
      <c r="A3" s="943" t="s">
        <v>348</v>
      </c>
      <c r="B3" s="943"/>
      <c r="C3" s="943"/>
      <c r="D3" s="943"/>
      <c r="E3" s="943"/>
      <c r="F3" s="943"/>
      <c r="G3" s="943"/>
      <c r="H3" s="943"/>
      <c r="I3" s="523"/>
      <c r="K3" s="943" t="s">
        <v>348</v>
      </c>
      <c r="L3" s="943"/>
      <c r="M3" s="943"/>
      <c r="N3" s="943"/>
      <c r="O3" s="943"/>
      <c r="P3" s="943"/>
      <c r="Q3" s="943"/>
      <c r="R3" s="523"/>
    </row>
    <row r="4" spans="1:20" ht="19.5" customHeight="1" thickTop="1" thickBot="1" x14ac:dyDescent="0.3">
      <c r="A4" s="480"/>
      <c r="B4" s="944" t="s">
        <v>119</v>
      </c>
      <c r="C4" s="944" t="s">
        <v>120</v>
      </c>
      <c r="D4" s="942" t="s">
        <v>349</v>
      </c>
      <c r="E4" s="942"/>
      <c r="F4" s="942"/>
      <c r="G4" s="942"/>
      <c r="H4" s="942"/>
      <c r="I4" s="522"/>
      <c r="K4" s="944" t="s">
        <v>119</v>
      </c>
      <c r="L4" s="944" t="s">
        <v>120</v>
      </c>
      <c r="M4" s="942" t="s">
        <v>349</v>
      </c>
      <c r="N4" s="942"/>
      <c r="O4" s="942"/>
      <c r="P4" s="942"/>
      <c r="Q4" s="942"/>
      <c r="R4" s="522"/>
    </row>
    <row r="5" spans="1:20" ht="19.5" customHeight="1" thickBot="1" x14ac:dyDescent="0.3">
      <c r="A5" s="480"/>
      <c r="B5" s="944"/>
      <c r="C5" s="944"/>
      <c r="D5" s="482" t="s">
        <v>350</v>
      </c>
      <c r="E5" s="482" t="s">
        <v>351</v>
      </c>
      <c r="F5" s="482" t="s">
        <v>352</v>
      </c>
      <c r="G5" s="482" t="s">
        <v>353</v>
      </c>
      <c r="H5" s="482" t="s">
        <v>354</v>
      </c>
      <c r="I5" s="482" t="s">
        <v>355</v>
      </c>
      <c r="K5" s="944"/>
      <c r="L5" s="944"/>
      <c r="M5" s="482" t="s">
        <v>350</v>
      </c>
      <c r="N5" s="482" t="s">
        <v>351</v>
      </c>
      <c r="O5" s="482" t="s">
        <v>352</v>
      </c>
      <c r="P5" s="482" t="s">
        <v>353</v>
      </c>
      <c r="Q5" s="482" t="s">
        <v>354</v>
      </c>
      <c r="R5" s="482" t="s">
        <v>355</v>
      </c>
    </row>
    <row r="6" spans="1:20" ht="19.5" customHeight="1" x14ac:dyDescent="0.25">
      <c r="A6" s="480"/>
      <c r="B6" s="484">
        <f>'Budget Details'!B11</f>
        <v>0</v>
      </c>
      <c r="C6" s="483" t="str">
        <f>'Budget Details'!D11</f>
        <v>PI</v>
      </c>
      <c r="D6" s="487">
        <f>SUM('Budget Details'!T11,'Budget Details'!T70)</f>
        <v>0</v>
      </c>
      <c r="E6" s="487">
        <f>SUM('Budget Details'!U11,'Budget Details'!U70)</f>
        <v>0</v>
      </c>
      <c r="F6" s="487">
        <f>SUM('Budget Details'!V11,'Budget Details'!V70)</f>
        <v>0</v>
      </c>
      <c r="G6" s="487">
        <f>SUM('Budget Details'!W11,'Budget Details'!W70)</f>
        <v>0</v>
      </c>
      <c r="H6" s="487">
        <f>SUM('Budget Details'!X11,'Budget Details'!X70)</f>
        <v>0</v>
      </c>
      <c r="I6" s="524">
        <f>SUM(D6:H6)</f>
        <v>0</v>
      </c>
      <c r="K6" s="484">
        <f>'Budget Details'!AO11</f>
        <v>0</v>
      </c>
      <c r="L6" s="483" t="str">
        <f>'Budget Details'!AQ11</f>
        <v>PI</v>
      </c>
      <c r="M6" s="496">
        <f>SUM('Budget Details'!AA11,'Budget Details'!AA70)</f>
        <v>0</v>
      </c>
      <c r="N6" s="496">
        <f>SUM('Budget Details'!AB11,'Budget Details'!AB70)</f>
        <v>0</v>
      </c>
      <c r="O6" s="496">
        <f>SUM('Budget Details'!AC11,'Budget Details'!AC70)</f>
        <v>0</v>
      </c>
      <c r="P6" s="496">
        <f>SUM('Budget Details'!AD11,'Budget Details'!AD70)</f>
        <v>0</v>
      </c>
      <c r="Q6" s="496">
        <f>SUM('Budget Details'!AE11,'Budget Details'!AE70)</f>
        <v>0</v>
      </c>
      <c r="R6" s="531">
        <f>SUM(M6:Q6)</f>
        <v>0</v>
      </c>
    </row>
    <row r="7" spans="1:20" ht="19.5" customHeight="1" x14ac:dyDescent="0.25">
      <c r="A7" s="480"/>
      <c r="B7" s="484">
        <f>'Budget Details'!B12</f>
        <v>0</v>
      </c>
      <c r="C7" s="483" t="str">
        <f>'Budget Details'!D12</f>
        <v>Co PI</v>
      </c>
      <c r="D7" s="487">
        <f>SUM('Budget Details'!T12,'Budget Details'!T71)</f>
        <v>0</v>
      </c>
      <c r="E7" s="487">
        <f>SUM('Budget Details'!U12,'Budget Details'!U71)</f>
        <v>0</v>
      </c>
      <c r="F7" s="487">
        <f>SUM('Budget Details'!V12,'Budget Details'!V71)</f>
        <v>0</v>
      </c>
      <c r="G7" s="487">
        <f>SUM('Budget Details'!W12,'Budget Details'!W71)</f>
        <v>0</v>
      </c>
      <c r="H7" s="487">
        <f>SUM('Budget Details'!X12,'Budget Details'!X71)</f>
        <v>0</v>
      </c>
      <c r="I7" s="524">
        <f t="shared" ref="I7:I26" si="0">SUM(D7:H7)</f>
        <v>0</v>
      </c>
      <c r="K7" s="484">
        <f>'Budget Details'!AO12</f>
        <v>0</v>
      </c>
      <c r="L7" s="483" t="str">
        <f>'Budget Details'!AQ12</f>
        <v>Co PI</v>
      </c>
      <c r="M7" s="496">
        <f>SUM('Budget Details'!AA12,'Budget Details'!AA71)</f>
        <v>0</v>
      </c>
      <c r="N7" s="496">
        <f>SUM('Budget Details'!AB12,'Budget Details'!AB71)</f>
        <v>0</v>
      </c>
      <c r="O7" s="496">
        <f>SUM('Budget Details'!AC12,'Budget Details'!AC71)</f>
        <v>0</v>
      </c>
      <c r="P7" s="496">
        <f>SUM('Budget Details'!AD12,'Budget Details'!AD71)</f>
        <v>0</v>
      </c>
      <c r="Q7" s="496">
        <f>SUM('Budget Details'!AE12,'Budget Details'!AE71)</f>
        <v>0</v>
      </c>
      <c r="R7" s="531">
        <f t="shared" ref="R7:R26" si="1">SUM(M7:Q7)</f>
        <v>0</v>
      </c>
    </row>
    <row r="8" spans="1:20" ht="19.5" customHeight="1" x14ac:dyDescent="0.25">
      <c r="A8" s="480"/>
      <c r="B8" s="484">
        <f>'Budget Details'!B13</f>
        <v>0</v>
      </c>
      <c r="C8" s="483" t="str">
        <f>'Budget Details'!D13</f>
        <v>Co PI</v>
      </c>
      <c r="D8" s="487">
        <f>SUM('Budget Details'!T13,'Budget Details'!T72)</f>
        <v>0</v>
      </c>
      <c r="E8" s="487">
        <f>SUM('Budget Details'!U13,'Budget Details'!U72)</f>
        <v>0</v>
      </c>
      <c r="F8" s="487">
        <f>SUM('Budget Details'!V13,'Budget Details'!V72)</f>
        <v>0</v>
      </c>
      <c r="G8" s="487">
        <f>SUM('Budget Details'!W13,'Budget Details'!W72)</f>
        <v>0</v>
      </c>
      <c r="H8" s="487">
        <f>SUM('Budget Details'!X13,'Budget Details'!X72)</f>
        <v>0</v>
      </c>
      <c r="I8" s="524">
        <f t="shared" si="0"/>
        <v>0</v>
      </c>
      <c r="K8" s="484">
        <f>'Budget Details'!AO13</f>
        <v>0</v>
      </c>
      <c r="L8" s="483" t="str">
        <f>'Budget Details'!AQ13</f>
        <v>Co PI</v>
      </c>
      <c r="M8" s="496">
        <f>SUM('Budget Details'!AA13,'Budget Details'!AA72)</f>
        <v>0</v>
      </c>
      <c r="N8" s="496">
        <f>SUM('Budget Details'!AB13,'Budget Details'!AB72)</f>
        <v>0</v>
      </c>
      <c r="O8" s="496">
        <f>SUM('Budget Details'!AC13,'Budget Details'!AC72)</f>
        <v>0</v>
      </c>
      <c r="P8" s="496">
        <f>SUM('Budget Details'!AD13,'Budget Details'!AD72)</f>
        <v>0</v>
      </c>
      <c r="Q8" s="496">
        <f>SUM('Budget Details'!AE13,'Budget Details'!AE72)</f>
        <v>0</v>
      </c>
      <c r="R8" s="531">
        <f t="shared" si="1"/>
        <v>0</v>
      </c>
    </row>
    <row r="9" spans="1:20" ht="19.5" customHeight="1" x14ac:dyDescent="0.25">
      <c r="A9" s="480"/>
      <c r="B9" s="484">
        <f>'Budget Details'!B14</f>
        <v>0</v>
      </c>
      <c r="C9" s="483" t="str">
        <f>'Budget Details'!D14</f>
        <v>Co PI</v>
      </c>
      <c r="D9" s="487">
        <f>SUM('Budget Details'!T14,'Budget Details'!T73)</f>
        <v>0</v>
      </c>
      <c r="E9" s="487">
        <f>SUM('Budget Details'!U14,'Budget Details'!U73)</f>
        <v>0</v>
      </c>
      <c r="F9" s="487">
        <f>SUM('Budget Details'!V14,'Budget Details'!V73)</f>
        <v>0</v>
      </c>
      <c r="G9" s="487">
        <f>SUM('Budget Details'!W14,'Budget Details'!W73)</f>
        <v>0</v>
      </c>
      <c r="H9" s="487">
        <f>SUM('Budget Details'!X14,'Budget Details'!X73)</f>
        <v>0</v>
      </c>
      <c r="I9" s="524">
        <f t="shared" si="0"/>
        <v>0</v>
      </c>
      <c r="K9" s="484">
        <f>'Budget Details'!AO14</f>
        <v>0</v>
      </c>
      <c r="L9" s="483" t="str">
        <f>'Budget Details'!AQ14</f>
        <v>Senior Personnel</v>
      </c>
      <c r="M9" s="496">
        <f>SUM('Budget Details'!AA14,'Budget Details'!AA73)</f>
        <v>0</v>
      </c>
      <c r="N9" s="496">
        <f>SUM('Budget Details'!AB14,'Budget Details'!AB73)</f>
        <v>0</v>
      </c>
      <c r="O9" s="496">
        <f>SUM('Budget Details'!AC14,'Budget Details'!AC73)</f>
        <v>0</v>
      </c>
      <c r="P9" s="496">
        <f>SUM('Budget Details'!AD14,'Budget Details'!AD73)</f>
        <v>0</v>
      </c>
      <c r="Q9" s="496">
        <f>SUM('Budget Details'!AE14,'Budget Details'!AE73)</f>
        <v>0</v>
      </c>
      <c r="R9" s="531">
        <f t="shared" si="1"/>
        <v>0</v>
      </c>
    </row>
    <row r="10" spans="1:20" ht="19.5" customHeight="1" x14ac:dyDescent="0.25">
      <c r="A10" s="480"/>
      <c r="B10" s="484">
        <f>'Budget Details'!B15</f>
        <v>0</v>
      </c>
      <c r="C10" s="483" t="str">
        <f>'Budget Details'!D15</f>
        <v>Co PI</v>
      </c>
      <c r="D10" s="487">
        <f>SUM('Budget Details'!T15,'Budget Details'!T74)</f>
        <v>0</v>
      </c>
      <c r="E10" s="487">
        <f>SUM('Budget Details'!U15,'Budget Details'!U74)</f>
        <v>0</v>
      </c>
      <c r="F10" s="487">
        <f>SUM('Budget Details'!V15,'Budget Details'!V74)</f>
        <v>0</v>
      </c>
      <c r="G10" s="487">
        <f>SUM('Budget Details'!W15,'Budget Details'!W74)</f>
        <v>0</v>
      </c>
      <c r="H10" s="487">
        <f>SUM('Budget Details'!X15,'Budget Details'!X74)</f>
        <v>0</v>
      </c>
      <c r="I10" s="524">
        <f t="shared" si="0"/>
        <v>0</v>
      </c>
      <c r="K10" s="484">
        <f>'Budget Details'!AO15</f>
        <v>0</v>
      </c>
      <c r="L10" s="483" t="str">
        <f>'Budget Details'!AQ15</f>
        <v>Senior Personnel</v>
      </c>
      <c r="M10" s="496">
        <f>SUM('Budget Details'!AA15,'Budget Details'!AA74)</f>
        <v>0</v>
      </c>
      <c r="N10" s="496">
        <f>SUM('Budget Details'!AB15,'Budget Details'!AB74)</f>
        <v>0</v>
      </c>
      <c r="O10" s="496">
        <f>SUM('Budget Details'!AC15,'Budget Details'!AC74)</f>
        <v>0</v>
      </c>
      <c r="P10" s="496">
        <f>SUM('Budget Details'!AD15,'Budget Details'!AD74)</f>
        <v>0</v>
      </c>
      <c r="Q10" s="496">
        <f>SUM('Budget Details'!AE15,'Budget Details'!AE74)</f>
        <v>0</v>
      </c>
      <c r="R10" s="531">
        <f t="shared" si="1"/>
        <v>0</v>
      </c>
    </row>
    <row r="11" spans="1:20" ht="19.5" customHeight="1" x14ac:dyDescent="0.25">
      <c r="A11" s="480"/>
      <c r="B11" s="484">
        <f>'Budget Details'!B16</f>
        <v>0</v>
      </c>
      <c r="C11" s="483" t="str">
        <f>'Budget Details'!D16</f>
        <v>Senior Personnel</v>
      </c>
      <c r="D11" s="487">
        <f>SUM('Budget Details'!T16,'Budget Details'!T75)</f>
        <v>0</v>
      </c>
      <c r="E11" s="487">
        <f>SUM('Budget Details'!U16,'Budget Details'!U75)</f>
        <v>0</v>
      </c>
      <c r="F11" s="487">
        <f>SUM('Budget Details'!V16,'Budget Details'!V75)</f>
        <v>0</v>
      </c>
      <c r="G11" s="487">
        <f>SUM('Budget Details'!W16,'Budget Details'!W75)</f>
        <v>0</v>
      </c>
      <c r="H11" s="487">
        <f>SUM('Budget Details'!X16,'Budget Details'!X75)</f>
        <v>0</v>
      </c>
      <c r="I11" s="524">
        <f t="shared" si="0"/>
        <v>0</v>
      </c>
      <c r="K11" s="484">
        <f>'Budget Details'!AO16</f>
        <v>0</v>
      </c>
      <c r="L11" s="483" t="str">
        <f>'Budget Details'!AQ16</f>
        <v>Senior Personnel</v>
      </c>
      <c r="M11" s="496">
        <f>SUM('Budget Details'!AA16,'Budget Details'!AA75)</f>
        <v>0</v>
      </c>
      <c r="N11" s="496">
        <f>SUM('Budget Details'!AB16,'Budget Details'!AB75)</f>
        <v>0</v>
      </c>
      <c r="O11" s="496">
        <f>SUM('Budget Details'!AC16,'Budget Details'!AC75)</f>
        <v>0</v>
      </c>
      <c r="P11" s="496">
        <f>SUM('Budget Details'!AD16,'Budget Details'!AD75)</f>
        <v>0</v>
      </c>
      <c r="Q11" s="496">
        <f>SUM('Budget Details'!AE16,'Budget Details'!AE75)</f>
        <v>0</v>
      </c>
      <c r="R11" s="531">
        <f t="shared" si="1"/>
        <v>0</v>
      </c>
    </row>
    <row r="12" spans="1:20" ht="19.5" customHeight="1" x14ac:dyDescent="0.25">
      <c r="A12" s="480"/>
      <c r="B12" s="484" t="e">
        <f>'Budget Details'!#REF!</f>
        <v>#REF!</v>
      </c>
      <c r="C12" s="483" t="e">
        <f>'Budget Details'!#REF!</f>
        <v>#REF!</v>
      </c>
      <c r="D12" s="487" t="e">
        <f>SUM('Budget Details'!#REF!,'Budget Details'!#REF!)</f>
        <v>#REF!</v>
      </c>
      <c r="E12" s="487" t="e">
        <f>SUM('Budget Details'!#REF!,'Budget Details'!#REF!)</f>
        <v>#REF!</v>
      </c>
      <c r="F12" s="487" t="e">
        <f>SUM('Budget Details'!#REF!,'Budget Details'!#REF!)</f>
        <v>#REF!</v>
      </c>
      <c r="G12" s="487" t="e">
        <f>SUM('Budget Details'!#REF!,'Budget Details'!#REF!)</f>
        <v>#REF!</v>
      </c>
      <c r="H12" s="487" t="e">
        <f>SUM('Budget Details'!#REF!,'Budget Details'!#REF!)</f>
        <v>#REF!</v>
      </c>
      <c r="I12" s="524" t="e">
        <f t="shared" si="0"/>
        <v>#REF!</v>
      </c>
      <c r="K12" s="484" t="e">
        <f>'Budget Details'!#REF!</f>
        <v>#REF!</v>
      </c>
      <c r="L12" s="483" t="e">
        <f>'Budget Details'!#REF!</f>
        <v>#REF!</v>
      </c>
      <c r="M12" s="496" t="e">
        <f>SUM('Budget Details'!#REF!,'Budget Details'!#REF!)</f>
        <v>#REF!</v>
      </c>
      <c r="N12" s="496" t="e">
        <f>SUM('Budget Details'!#REF!,'Budget Details'!#REF!)</f>
        <v>#REF!</v>
      </c>
      <c r="O12" s="496" t="e">
        <f>SUM('Budget Details'!#REF!,'Budget Details'!#REF!)</f>
        <v>#REF!</v>
      </c>
      <c r="P12" s="496" t="e">
        <f>SUM('Budget Details'!#REF!,'Budget Details'!#REF!)</f>
        <v>#REF!</v>
      </c>
      <c r="Q12" s="496" t="e">
        <f>SUM('Budget Details'!#REF!,'Budget Details'!#REF!)</f>
        <v>#REF!</v>
      </c>
      <c r="R12" s="531" t="e">
        <f t="shared" si="1"/>
        <v>#REF!</v>
      </c>
    </row>
    <row r="13" spans="1:20" ht="19.5" customHeight="1" x14ac:dyDescent="0.25">
      <c r="A13" s="480"/>
      <c r="B13" s="484">
        <f>'Budget Details'!B17</f>
        <v>0</v>
      </c>
      <c r="C13" s="483" t="str">
        <f>'Budget Details'!D17</f>
        <v>Senior Personnel</v>
      </c>
      <c r="D13" s="487">
        <f>SUM('Budget Details'!T17,'Budget Details'!T76)</f>
        <v>0</v>
      </c>
      <c r="E13" s="487">
        <f>SUM('Budget Details'!U17,'Budget Details'!U76)</f>
        <v>0</v>
      </c>
      <c r="F13" s="487">
        <f>SUM('Budget Details'!V17,'Budget Details'!V76)</f>
        <v>0</v>
      </c>
      <c r="G13" s="487">
        <f>SUM('Budget Details'!W17,'Budget Details'!W76)</f>
        <v>0</v>
      </c>
      <c r="H13" s="487">
        <f>SUM('Budget Details'!X17,'Budget Details'!X76)</f>
        <v>0</v>
      </c>
      <c r="I13" s="524">
        <f t="shared" si="0"/>
        <v>0</v>
      </c>
      <c r="K13" s="484">
        <f>'Budget Details'!AO17</f>
        <v>0</v>
      </c>
      <c r="L13" s="483" t="str">
        <f>'Budget Details'!AQ17</f>
        <v>Senior Personnel</v>
      </c>
      <c r="M13" s="496">
        <f>SUM('Budget Details'!AA17,'Budget Details'!AA76)</f>
        <v>0</v>
      </c>
      <c r="N13" s="496">
        <f>SUM('Budget Details'!AB17,'Budget Details'!AB76)</f>
        <v>0</v>
      </c>
      <c r="O13" s="496">
        <f>SUM('Budget Details'!AC17,'Budget Details'!AC76)</f>
        <v>0</v>
      </c>
      <c r="P13" s="496">
        <f>SUM('Budget Details'!AD17,'Budget Details'!AD76)</f>
        <v>0</v>
      </c>
      <c r="Q13" s="496">
        <f>SUM('Budget Details'!AE17,'Budget Details'!AE76)</f>
        <v>0</v>
      </c>
      <c r="R13" s="531">
        <f t="shared" si="1"/>
        <v>0</v>
      </c>
    </row>
    <row r="14" spans="1:20" ht="19.5" customHeight="1" x14ac:dyDescent="0.25">
      <c r="A14" s="480"/>
      <c r="B14" s="484">
        <f>'Budget Details'!B18</f>
        <v>0</v>
      </c>
      <c r="C14" s="483" t="str">
        <f>'Budget Details'!D18</f>
        <v>Senior Personnel</v>
      </c>
      <c r="D14" s="487">
        <f>SUM('Budget Details'!T18,'Budget Details'!T77)</f>
        <v>0</v>
      </c>
      <c r="E14" s="487">
        <f>SUM('Budget Details'!U18,'Budget Details'!U77)</f>
        <v>0</v>
      </c>
      <c r="F14" s="487">
        <f>SUM('Budget Details'!V18,'Budget Details'!V77)</f>
        <v>0</v>
      </c>
      <c r="G14" s="487">
        <f>SUM('Budget Details'!W18,'Budget Details'!W77)</f>
        <v>0</v>
      </c>
      <c r="H14" s="487">
        <f>SUM('Budget Details'!X18,'Budget Details'!X77)</f>
        <v>0</v>
      </c>
      <c r="I14" s="524">
        <f t="shared" si="0"/>
        <v>0</v>
      </c>
      <c r="K14" s="484">
        <f>'Budget Details'!AO18</f>
        <v>0</v>
      </c>
      <c r="L14" s="483" t="str">
        <f>'Budget Details'!AQ18</f>
        <v>Senior Personnel</v>
      </c>
      <c r="M14" s="496">
        <f>SUM('Budget Details'!AA18,'Budget Details'!AA77)</f>
        <v>0</v>
      </c>
      <c r="N14" s="496">
        <f>SUM('Budget Details'!AB18,'Budget Details'!AB77)</f>
        <v>0</v>
      </c>
      <c r="O14" s="496">
        <f>SUM('Budget Details'!AC18,'Budget Details'!AC77)</f>
        <v>0</v>
      </c>
      <c r="P14" s="496">
        <f>SUM('Budget Details'!AD18,'Budget Details'!AD77)</f>
        <v>0</v>
      </c>
      <c r="Q14" s="496">
        <f>SUM('Budget Details'!AE18,'Budget Details'!AE77)</f>
        <v>0</v>
      </c>
      <c r="R14" s="531">
        <f t="shared" si="1"/>
        <v>0</v>
      </c>
    </row>
    <row r="15" spans="1:20" ht="19.5" customHeight="1" x14ac:dyDescent="0.25">
      <c r="A15" s="480"/>
      <c r="B15" s="484">
        <f>'Budget Details'!B19</f>
        <v>0</v>
      </c>
      <c r="C15" s="483" t="str">
        <f>'Budget Details'!D19</f>
        <v>Senior Personnel</v>
      </c>
      <c r="D15" s="487">
        <f>SUM('Budget Details'!T19,'Budget Details'!T78)</f>
        <v>0</v>
      </c>
      <c r="E15" s="487">
        <f>SUM('Budget Details'!U19,'Budget Details'!U78)</f>
        <v>0</v>
      </c>
      <c r="F15" s="487">
        <f>SUM('Budget Details'!V19,'Budget Details'!V78)</f>
        <v>0</v>
      </c>
      <c r="G15" s="487">
        <f>SUM('Budget Details'!W19,'Budget Details'!W78)</f>
        <v>0</v>
      </c>
      <c r="H15" s="487">
        <f>SUM('Budget Details'!X19,'Budget Details'!X78)</f>
        <v>0</v>
      </c>
      <c r="I15" s="524">
        <f t="shared" si="0"/>
        <v>0</v>
      </c>
      <c r="K15" s="484">
        <f>'Budget Details'!AO19</f>
        <v>0</v>
      </c>
      <c r="L15" s="483" t="str">
        <f>'Budget Details'!AQ19</f>
        <v>Senior Personnel</v>
      </c>
      <c r="M15" s="496">
        <f>SUM('Budget Details'!AA19,'Budget Details'!AA78)</f>
        <v>0</v>
      </c>
      <c r="N15" s="496">
        <f>SUM('Budget Details'!AB19,'Budget Details'!AB78)</f>
        <v>0</v>
      </c>
      <c r="O15" s="496">
        <f>SUM('Budget Details'!AC19,'Budget Details'!AC78)</f>
        <v>0</v>
      </c>
      <c r="P15" s="496">
        <f>SUM('Budget Details'!AD19,'Budget Details'!AD78)</f>
        <v>0</v>
      </c>
      <c r="Q15" s="496">
        <f>SUM('Budget Details'!AE19,'Budget Details'!AE78)</f>
        <v>0</v>
      </c>
      <c r="R15" s="531">
        <f t="shared" si="1"/>
        <v>0</v>
      </c>
    </row>
    <row r="16" spans="1:20" ht="19.5" hidden="1" customHeight="1" outlineLevel="1" x14ac:dyDescent="0.25">
      <c r="A16" s="480"/>
      <c r="B16" s="484">
        <f>'Budget Details'!B20</f>
        <v>0</v>
      </c>
      <c r="C16" s="483" t="str">
        <f>'Budget Details'!D20</f>
        <v>Senior Personnel</v>
      </c>
      <c r="D16" s="487">
        <f>SUM('Budget Details'!T20,'Budget Details'!T79)</f>
        <v>0</v>
      </c>
      <c r="E16" s="487">
        <f>SUM('Budget Details'!U20,'Budget Details'!U79)</f>
        <v>0</v>
      </c>
      <c r="F16" s="487">
        <f>SUM('Budget Details'!V20,'Budget Details'!V79)</f>
        <v>0</v>
      </c>
      <c r="G16" s="487">
        <f>SUM('Budget Details'!W20,'Budget Details'!W79)</f>
        <v>0</v>
      </c>
      <c r="H16" s="487">
        <f>SUM('Budget Details'!X20,'Budget Details'!X79)</f>
        <v>0</v>
      </c>
      <c r="I16" s="524">
        <f t="shared" si="0"/>
        <v>0</v>
      </c>
      <c r="K16" s="484">
        <f>'Budget Details'!AO20</f>
        <v>0</v>
      </c>
      <c r="L16" s="483" t="str">
        <f>'Budget Details'!AQ20</f>
        <v>Senior Personnel</v>
      </c>
      <c r="M16" s="496">
        <f>SUM('Budget Details'!AA20,'Budget Details'!AA79)</f>
        <v>0</v>
      </c>
      <c r="N16" s="496">
        <f>SUM('Budget Details'!AB20,'Budget Details'!AB79)</f>
        <v>0</v>
      </c>
      <c r="O16" s="496">
        <f>SUM('Budget Details'!AC20,'Budget Details'!AC79)</f>
        <v>0</v>
      </c>
      <c r="P16" s="496">
        <f>SUM('Budget Details'!AD20,'Budget Details'!AD79)</f>
        <v>0</v>
      </c>
      <c r="Q16" s="496">
        <f>SUM('Budget Details'!AE20,'Budget Details'!AE79)</f>
        <v>0</v>
      </c>
      <c r="R16" s="531">
        <f t="shared" si="1"/>
        <v>0</v>
      </c>
    </row>
    <row r="17" spans="1:18" ht="19.5" hidden="1" customHeight="1" outlineLevel="1" x14ac:dyDescent="0.25">
      <c r="A17" s="480"/>
      <c r="B17" s="484">
        <f>'Budget Details'!B21</f>
        <v>0</v>
      </c>
      <c r="C17" s="483" t="str">
        <f>'Budget Details'!D21</f>
        <v>Senior Personnel</v>
      </c>
      <c r="D17" s="487">
        <f>SUM('Budget Details'!T21,'Budget Details'!T80)</f>
        <v>0</v>
      </c>
      <c r="E17" s="487">
        <f>SUM('Budget Details'!U21,'Budget Details'!U80)</f>
        <v>0</v>
      </c>
      <c r="F17" s="487">
        <f>SUM('Budget Details'!V21,'Budget Details'!V80)</f>
        <v>0</v>
      </c>
      <c r="G17" s="487">
        <f>SUM('Budget Details'!W21,'Budget Details'!W80)</f>
        <v>0</v>
      </c>
      <c r="H17" s="487">
        <f>SUM('Budget Details'!X21,'Budget Details'!X80)</f>
        <v>0</v>
      </c>
      <c r="I17" s="524">
        <f t="shared" si="0"/>
        <v>0</v>
      </c>
      <c r="K17" s="484">
        <f>'Budget Details'!AO21</f>
        <v>0</v>
      </c>
      <c r="L17" s="483" t="str">
        <f>'Budget Details'!AQ21</f>
        <v>Senior Personnel</v>
      </c>
      <c r="M17" s="496">
        <f>SUM('Budget Details'!AA21,'Budget Details'!AA80)</f>
        <v>0</v>
      </c>
      <c r="N17" s="496">
        <f>SUM('Budget Details'!AB21,'Budget Details'!AB80)</f>
        <v>0</v>
      </c>
      <c r="O17" s="496">
        <f>SUM('Budget Details'!AC21,'Budget Details'!AC80)</f>
        <v>0</v>
      </c>
      <c r="P17" s="496">
        <f>SUM('Budget Details'!AD21,'Budget Details'!AD80)</f>
        <v>0</v>
      </c>
      <c r="Q17" s="496">
        <f>SUM('Budget Details'!AE21,'Budget Details'!AE80)</f>
        <v>0</v>
      </c>
      <c r="R17" s="531">
        <f t="shared" si="1"/>
        <v>0</v>
      </c>
    </row>
    <row r="18" spans="1:18" ht="19.5" hidden="1" customHeight="1" outlineLevel="1" x14ac:dyDescent="0.25">
      <c r="A18" s="480"/>
      <c r="B18" s="484">
        <f>'Budget Details'!B22</f>
        <v>0</v>
      </c>
      <c r="C18" s="483" t="str">
        <f>'Budget Details'!D22</f>
        <v>Senior Personnel</v>
      </c>
      <c r="D18" s="487">
        <f>SUM('Budget Details'!T22,'Budget Details'!T81)</f>
        <v>0</v>
      </c>
      <c r="E18" s="487">
        <f>SUM('Budget Details'!U22,'Budget Details'!U81)</f>
        <v>0</v>
      </c>
      <c r="F18" s="487">
        <f>SUM('Budget Details'!V22,'Budget Details'!V81)</f>
        <v>0</v>
      </c>
      <c r="G18" s="487">
        <f>SUM('Budget Details'!W22,'Budget Details'!W81)</f>
        <v>0</v>
      </c>
      <c r="H18" s="487">
        <f>SUM('Budget Details'!X22,'Budget Details'!X81)</f>
        <v>0</v>
      </c>
      <c r="I18" s="524">
        <f t="shared" si="0"/>
        <v>0</v>
      </c>
      <c r="K18" s="484">
        <f>'Budget Details'!AO22</f>
        <v>0</v>
      </c>
      <c r="L18" s="483" t="str">
        <f>'Budget Details'!AQ22</f>
        <v>Senior Personnel</v>
      </c>
      <c r="M18" s="496">
        <f>SUM('Budget Details'!AA22,'Budget Details'!AA81)</f>
        <v>0</v>
      </c>
      <c r="N18" s="496">
        <f>SUM('Budget Details'!AB22,'Budget Details'!AB81)</f>
        <v>0</v>
      </c>
      <c r="O18" s="496">
        <f>SUM('Budget Details'!AC22,'Budget Details'!AC81)</f>
        <v>0</v>
      </c>
      <c r="P18" s="496">
        <f>SUM('Budget Details'!AD22,'Budget Details'!AD81)</f>
        <v>0</v>
      </c>
      <c r="Q18" s="496">
        <f>SUM('Budget Details'!AE22,'Budget Details'!AE81)</f>
        <v>0</v>
      </c>
      <c r="R18" s="531">
        <f t="shared" si="1"/>
        <v>0</v>
      </c>
    </row>
    <row r="19" spans="1:18" ht="19.5" hidden="1" customHeight="1" outlineLevel="1" x14ac:dyDescent="0.25">
      <c r="A19" s="480"/>
      <c r="B19" s="484">
        <f>'Budget Details'!B23</f>
        <v>0</v>
      </c>
      <c r="C19" s="483" t="str">
        <f>'Budget Details'!D23</f>
        <v>Senior Personnel</v>
      </c>
      <c r="D19" s="487">
        <f>SUM('Budget Details'!T23,'Budget Details'!T82)</f>
        <v>0</v>
      </c>
      <c r="E19" s="487">
        <f>SUM('Budget Details'!U23,'Budget Details'!U82)</f>
        <v>0</v>
      </c>
      <c r="F19" s="487">
        <f>SUM('Budget Details'!V23,'Budget Details'!V82)</f>
        <v>0</v>
      </c>
      <c r="G19" s="487">
        <f>SUM('Budget Details'!W23,'Budget Details'!W82)</f>
        <v>0</v>
      </c>
      <c r="H19" s="487">
        <f>SUM('Budget Details'!X23,'Budget Details'!X82)</f>
        <v>0</v>
      </c>
      <c r="I19" s="524">
        <f t="shared" si="0"/>
        <v>0</v>
      </c>
      <c r="K19" s="484">
        <f>'Budget Details'!AO23</f>
        <v>0</v>
      </c>
      <c r="L19" s="483" t="str">
        <f>'Budget Details'!AQ23</f>
        <v>Senior Personnel</v>
      </c>
      <c r="M19" s="496">
        <f>SUM('Budget Details'!AA23,'Budget Details'!AA82)</f>
        <v>0</v>
      </c>
      <c r="N19" s="496">
        <f>SUM('Budget Details'!AB23,'Budget Details'!AB82)</f>
        <v>0</v>
      </c>
      <c r="O19" s="496">
        <f>SUM('Budget Details'!AC23,'Budget Details'!AC82)</f>
        <v>0</v>
      </c>
      <c r="P19" s="496">
        <f>SUM('Budget Details'!AD23,'Budget Details'!AD82)</f>
        <v>0</v>
      </c>
      <c r="Q19" s="496">
        <f>SUM('Budget Details'!AE23,'Budget Details'!AE82)</f>
        <v>0</v>
      </c>
      <c r="R19" s="531">
        <f t="shared" si="1"/>
        <v>0</v>
      </c>
    </row>
    <row r="20" spans="1:18" ht="19.5" hidden="1" customHeight="1" outlineLevel="1" x14ac:dyDescent="0.25">
      <c r="A20" s="480"/>
      <c r="B20" s="484">
        <f>'Budget Details'!B24</f>
        <v>0</v>
      </c>
      <c r="C20" s="483" t="str">
        <f>'Budget Details'!D24</f>
        <v>Senior Personnel</v>
      </c>
      <c r="D20" s="487">
        <f>SUM('Budget Details'!T24,'Budget Details'!T83)</f>
        <v>0</v>
      </c>
      <c r="E20" s="487">
        <f>SUM('Budget Details'!U24,'Budget Details'!U83)</f>
        <v>0</v>
      </c>
      <c r="F20" s="487">
        <f>SUM('Budget Details'!V24,'Budget Details'!V83)</f>
        <v>0</v>
      </c>
      <c r="G20" s="487">
        <f>SUM('Budget Details'!W24,'Budget Details'!W83)</f>
        <v>0</v>
      </c>
      <c r="H20" s="487">
        <f>SUM('Budget Details'!X24,'Budget Details'!X83)</f>
        <v>0</v>
      </c>
      <c r="I20" s="524">
        <f t="shared" si="0"/>
        <v>0</v>
      </c>
      <c r="K20" s="484">
        <f>'Budget Details'!AO24</f>
        <v>0</v>
      </c>
      <c r="L20" s="483" t="str">
        <f>'Budget Details'!AQ24</f>
        <v>Senior Personnel</v>
      </c>
      <c r="M20" s="496">
        <f>SUM('Budget Details'!AA24,'Budget Details'!AA83)</f>
        <v>0</v>
      </c>
      <c r="N20" s="496">
        <f>SUM('Budget Details'!AB24,'Budget Details'!AB83)</f>
        <v>0</v>
      </c>
      <c r="O20" s="496">
        <f>SUM('Budget Details'!AC24,'Budget Details'!AC83)</f>
        <v>0</v>
      </c>
      <c r="P20" s="496">
        <f>SUM('Budget Details'!AD24,'Budget Details'!AD83)</f>
        <v>0</v>
      </c>
      <c r="Q20" s="496">
        <f>SUM('Budget Details'!AE24,'Budget Details'!AE83)</f>
        <v>0</v>
      </c>
      <c r="R20" s="531">
        <f t="shared" si="1"/>
        <v>0</v>
      </c>
    </row>
    <row r="21" spans="1:18" ht="19.5" hidden="1" customHeight="1" outlineLevel="1" x14ac:dyDescent="0.25">
      <c r="A21" s="480"/>
      <c r="B21" s="484">
        <f>'Budget Details'!B25</f>
        <v>0</v>
      </c>
      <c r="C21" s="483" t="str">
        <f>'Budget Details'!D25</f>
        <v>Senior Personnel</v>
      </c>
      <c r="D21" s="487">
        <f>SUM('Budget Details'!T25,'Budget Details'!T84)</f>
        <v>0</v>
      </c>
      <c r="E21" s="487">
        <f>SUM('Budget Details'!U25,'Budget Details'!U84)</f>
        <v>0</v>
      </c>
      <c r="F21" s="487">
        <f>SUM('Budget Details'!V25,'Budget Details'!V84)</f>
        <v>0</v>
      </c>
      <c r="G21" s="487">
        <f>SUM('Budget Details'!W25,'Budget Details'!W84)</f>
        <v>0</v>
      </c>
      <c r="H21" s="487">
        <f>SUM('Budget Details'!X25,'Budget Details'!X84)</f>
        <v>0</v>
      </c>
      <c r="I21" s="524">
        <f t="shared" si="0"/>
        <v>0</v>
      </c>
      <c r="K21" s="484">
        <f>'Budget Details'!AO25</f>
        <v>0</v>
      </c>
      <c r="L21" s="483" t="str">
        <f>'Budget Details'!AQ25</f>
        <v>Senior Personnel</v>
      </c>
      <c r="M21" s="496">
        <f>SUM('Budget Details'!AA25,'Budget Details'!AA84)</f>
        <v>0</v>
      </c>
      <c r="N21" s="496">
        <f>SUM('Budget Details'!AB25,'Budget Details'!AB84)</f>
        <v>0</v>
      </c>
      <c r="O21" s="496">
        <f>SUM('Budget Details'!AC25,'Budget Details'!AC84)</f>
        <v>0</v>
      </c>
      <c r="P21" s="496">
        <f>SUM('Budget Details'!AD25,'Budget Details'!AD84)</f>
        <v>0</v>
      </c>
      <c r="Q21" s="496">
        <f>SUM('Budget Details'!AE25,'Budget Details'!AE84)</f>
        <v>0</v>
      </c>
      <c r="R21" s="531">
        <f t="shared" si="1"/>
        <v>0</v>
      </c>
    </row>
    <row r="22" spans="1:18" ht="19.5" hidden="1" customHeight="1" outlineLevel="1" x14ac:dyDescent="0.25">
      <c r="A22" s="480"/>
      <c r="B22" s="484">
        <f>'Budget Details'!B26</f>
        <v>0</v>
      </c>
      <c r="C22" s="483" t="str">
        <f>'Budget Details'!D26</f>
        <v>Senior Personnel</v>
      </c>
      <c r="D22" s="487">
        <f>SUM('Budget Details'!T26,'Budget Details'!T85)</f>
        <v>0</v>
      </c>
      <c r="E22" s="487">
        <f>SUM('Budget Details'!U26,'Budget Details'!U85)</f>
        <v>0</v>
      </c>
      <c r="F22" s="487">
        <f>SUM('Budget Details'!V26,'Budget Details'!V85)</f>
        <v>0</v>
      </c>
      <c r="G22" s="487">
        <f>SUM('Budget Details'!W26,'Budget Details'!W85)</f>
        <v>0</v>
      </c>
      <c r="H22" s="487">
        <f>SUM('Budget Details'!X26,'Budget Details'!X85)</f>
        <v>0</v>
      </c>
      <c r="I22" s="524">
        <f t="shared" si="0"/>
        <v>0</v>
      </c>
      <c r="K22" s="484">
        <f>'Budget Details'!AO26</f>
        <v>0</v>
      </c>
      <c r="L22" s="483" t="str">
        <f>'Budget Details'!AQ26</f>
        <v>Senior Personnel</v>
      </c>
      <c r="M22" s="496">
        <f>SUM('Budget Details'!AA26,'Budget Details'!AA85)</f>
        <v>0</v>
      </c>
      <c r="N22" s="496">
        <f>SUM('Budget Details'!AB26,'Budget Details'!AB85)</f>
        <v>0</v>
      </c>
      <c r="O22" s="496">
        <f>SUM('Budget Details'!AC26,'Budget Details'!AC85)</f>
        <v>0</v>
      </c>
      <c r="P22" s="496">
        <f>SUM('Budget Details'!AD26,'Budget Details'!AD85)</f>
        <v>0</v>
      </c>
      <c r="Q22" s="496">
        <f>SUM('Budget Details'!AE26,'Budget Details'!AE85)</f>
        <v>0</v>
      </c>
      <c r="R22" s="531">
        <f t="shared" si="1"/>
        <v>0</v>
      </c>
    </row>
    <row r="23" spans="1:18" ht="19.5" hidden="1" customHeight="1" outlineLevel="1" x14ac:dyDescent="0.25">
      <c r="A23" s="480"/>
      <c r="B23" s="484">
        <f>'Budget Details'!B27</f>
        <v>0</v>
      </c>
      <c r="C23" s="483" t="str">
        <f>'Budget Details'!D27</f>
        <v>Senior Personnel</v>
      </c>
      <c r="D23" s="487">
        <f>SUM('Budget Details'!T27,'Budget Details'!T86)</f>
        <v>0</v>
      </c>
      <c r="E23" s="487">
        <f>SUM('Budget Details'!U27,'Budget Details'!U86)</f>
        <v>0</v>
      </c>
      <c r="F23" s="487">
        <f>SUM('Budget Details'!V27,'Budget Details'!V86)</f>
        <v>0</v>
      </c>
      <c r="G23" s="487">
        <f>SUM('Budget Details'!W27,'Budget Details'!W86)</f>
        <v>0</v>
      </c>
      <c r="H23" s="487">
        <f>SUM('Budget Details'!X27,'Budget Details'!X86)</f>
        <v>0</v>
      </c>
      <c r="I23" s="524">
        <f t="shared" si="0"/>
        <v>0</v>
      </c>
      <c r="K23" s="484">
        <f>'Budget Details'!AO27</f>
        <v>0</v>
      </c>
      <c r="L23" s="483" t="str">
        <f>'Budget Details'!AQ27</f>
        <v>Senior Personnel</v>
      </c>
      <c r="M23" s="496">
        <f>SUM('Budget Details'!AA27,'Budget Details'!AA86)</f>
        <v>0</v>
      </c>
      <c r="N23" s="496">
        <f>SUM('Budget Details'!AB27,'Budget Details'!AB86)</f>
        <v>0</v>
      </c>
      <c r="O23" s="496">
        <f>SUM('Budget Details'!AC27,'Budget Details'!AC86)</f>
        <v>0</v>
      </c>
      <c r="P23" s="496">
        <f>SUM('Budget Details'!AD27,'Budget Details'!AD86)</f>
        <v>0</v>
      </c>
      <c r="Q23" s="496">
        <f>SUM('Budget Details'!AE27,'Budget Details'!AE86)</f>
        <v>0</v>
      </c>
      <c r="R23" s="531">
        <f t="shared" si="1"/>
        <v>0</v>
      </c>
    </row>
    <row r="24" spans="1:18" ht="19.5" hidden="1" customHeight="1" outlineLevel="1" x14ac:dyDescent="0.25">
      <c r="A24" s="480"/>
      <c r="B24" s="484">
        <f>'Budget Details'!B28</f>
        <v>0</v>
      </c>
      <c r="C24" s="483" t="str">
        <f>'Budget Details'!D28</f>
        <v>Senior Personnel</v>
      </c>
      <c r="D24" s="487">
        <f>SUM('Budget Details'!T28,'Budget Details'!T87)</f>
        <v>0</v>
      </c>
      <c r="E24" s="487">
        <f>SUM('Budget Details'!U28,'Budget Details'!U87)</f>
        <v>0</v>
      </c>
      <c r="F24" s="487">
        <f>SUM('Budget Details'!V28,'Budget Details'!V87)</f>
        <v>0</v>
      </c>
      <c r="G24" s="487">
        <f>SUM('Budget Details'!W28,'Budget Details'!W87)</f>
        <v>0</v>
      </c>
      <c r="H24" s="487">
        <f>SUM('Budget Details'!X28,'Budget Details'!X87)</f>
        <v>0</v>
      </c>
      <c r="I24" s="524">
        <f t="shared" si="0"/>
        <v>0</v>
      </c>
      <c r="K24" s="484">
        <f>'Budget Details'!AO28</f>
        <v>0</v>
      </c>
      <c r="L24" s="483" t="str">
        <f>'Budget Details'!AQ28</f>
        <v>Senior Personnel</v>
      </c>
      <c r="M24" s="496">
        <f>SUM('Budget Details'!AA28,'Budget Details'!AA87)</f>
        <v>0</v>
      </c>
      <c r="N24" s="496">
        <f>SUM('Budget Details'!AB28,'Budget Details'!AB87)</f>
        <v>0</v>
      </c>
      <c r="O24" s="496">
        <f>SUM('Budget Details'!AC28,'Budget Details'!AC87)</f>
        <v>0</v>
      </c>
      <c r="P24" s="496">
        <f>SUM('Budget Details'!AD28,'Budget Details'!AD87)</f>
        <v>0</v>
      </c>
      <c r="Q24" s="496">
        <f>SUM('Budget Details'!AE28,'Budget Details'!AE87)</f>
        <v>0</v>
      </c>
      <c r="R24" s="531">
        <f t="shared" si="1"/>
        <v>0</v>
      </c>
    </row>
    <row r="25" spans="1:18" ht="19.5" hidden="1" customHeight="1" outlineLevel="1" x14ac:dyDescent="0.25">
      <c r="A25" s="480"/>
      <c r="B25" s="509">
        <f>'Budget Details'!B29</f>
        <v>0</v>
      </c>
      <c r="C25" s="510" t="str">
        <f>'Budget Details'!D29</f>
        <v>Senior Personnel</v>
      </c>
      <c r="D25" s="511">
        <f>SUM('Budget Details'!T29,'Budget Details'!T88)</f>
        <v>0</v>
      </c>
      <c r="E25" s="511">
        <f>SUM('Budget Details'!U29,'Budget Details'!U88)</f>
        <v>0</v>
      </c>
      <c r="F25" s="511">
        <f>SUM('Budget Details'!V29,'Budget Details'!V88)</f>
        <v>0</v>
      </c>
      <c r="G25" s="511">
        <f>SUM('Budget Details'!W29,'Budget Details'!W88)</f>
        <v>0</v>
      </c>
      <c r="H25" s="511">
        <f>SUM('Budget Details'!X29,'Budget Details'!X88)</f>
        <v>0</v>
      </c>
      <c r="I25" s="524">
        <f t="shared" si="0"/>
        <v>0</v>
      </c>
      <c r="K25" s="509">
        <f>'Budget Details'!AO29</f>
        <v>0</v>
      </c>
      <c r="L25" s="510" t="str">
        <f>'Budget Details'!AQ29</f>
        <v>Senior Personnel</v>
      </c>
      <c r="M25" s="515">
        <f>SUM('Budget Details'!AA29,'Budget Details'!AA88)</f>
        <v>0</v>
      </c>
      <c r="N25" s="515">
        <f>SUM('Budget Details'!AB29,'Budget Details'!AB88)</f>
        <v>0</v>
      </c>
      <c r="O25" s="515">
        <f>SUM('Budget Details'!AC29,'Budget Details'!AC88)</f>
        <v>0</v>
      </c>
      <c r="P25" s="515">
        <f>SUM('Budget Details'!AD29,'Budget Details'!AD88)</f>
        <v>0</v>
      </c>
      <c r="Q25" s="515">
        <f>SUM('Budget Details'!AE29,'Budget Details'!AE88)</f>
        <v>0</v>
      </c>
      <c r="R25" s="531">
        <f t="shared" si="1"/>
        <v>0</v>
      </c>
    </row>
    <row r="26" spans="1:18" ht="19.5" customHeight="1" collapsed="1" x14ac:dyDescent="0.25">
      <c r="A26" s="480"/>
      <c r="B26" s="945" t="s">
        <v>355</v>
      </c>
      <c r="C26" s="945"/>
      <c r="D26" s="514" t="e">
        <f>SUM(D6:D25)</f>
        <v>#REF!</v>
      </c>
      <c r="E26" s="514" t="e">
        <f t="shared" ref="E26:H26" si="2">SUM(E6:E25)</f>
        <v>#REF!</v>
      </c>
      <c r="F26" s="514" t="e">
        <f t="shared" si="2"/>
        <v>#REF!</v>
      </c>
      <c r="G26" s="514" t="e">
        <f t="shared" si="2"/>
        <v>#REF!</v>
      </c>
      <c r="H26" s="514" t="e">
        <f t="shared" si="2"/>
        <v>#REF!</v>
      </c>
      <c r="I26" s="524" t="e">
        <f t="shared" si="0"/>
        <v>#REF!</v>
      </c>
      <c r="K26" s="939" t="s">
        <v>356</v>
      </c>
      <c r="L26" s="939"/>
      <c r="M26" s="516" t="e">
        <f>SUM(M6:M25)</f>
        <v>#REF!</v>
      </c>
      <c r="N26" s="516" t="e">
        <f t="shared" ref="N26:Q26" si="3">SUM(N6:N25)</f>
        <v>#REF!</v>
      </c>
      <c r="O26" s="516" t="e">
        <f t="shared" si="3"/>
        <v>#REF!</v>
      </c>
      <c r="P26" s="516" t="e">
        <f t="shared" si="3"/>
        <v>#REF!</v>
      </c>
      <c r="Q26" s="516" t="e">
        <f t="shared" si="3"/>
        <v>#REF!</v>
      </c>
      <c r="R26" s="531" t="e">
        <f t="shared" si="1"/>
        <v>#REF!</v>
      </c>
    </row>
    <row r="27" spans="1:18" ht="19.5" customHeight="1" x14ac:dyDescent="0.25">
      <c r="A27" s="480"/>
      <c r="B27" s="480"/>
      <c r="C27" s="480"/>
      <c r="D27" s="481"/>
      <c r="E27" s="481"/>
      <c r="F27" s="481"/>
      <c r="G27" s="481"/>
      <c r="H27" s="481"/>
      <c r="I27" s="481"/>
      <c r="K27" s="480"/>
      <c r="L27" s="480"/>
      <c r="M27" s="481"/>
      <c r="N27" s="481"/>
      <c r="O27" s="481"/>
      <c r="P27" s="481"/>
      <c r="Q27" s="481"/>
      <c r="R27" s="481"/>
    </row>
    <row r="28" spans="1:18" ht="19.5" customHeight="1" thickBot="1" x14ac:dyDescent="0.35">
      <c r="A28" s="943" t="s">
        <v>357</v>
      </c>
      <c r="B28" s="943"/>
      <c r="C28" s="943"/>
      <c r="D28" s="943"/>
      <c r="E28" s="943"/>
      <c r="F28" s="943"/>
      <c r="G28" s="943"/>
      <c r="H28" s="943"/>
      <c r="I28" s="523"/>
      <c r="K28" s="943" t="s">
        <v>357</v>
      </c>
      <c r="L28" s="943"/>
      <c r="M28" s="943"/>
      <c r="N28" s="943"/>
      <c r="O28" s="943"/>
      <c r="P28" s="943"/>
      <c r="Q28" s="943"/>
      <c r="R28" s="523"/>
    </row>
    <row r="29" spans="1:18" ht="28.5" customHeight="1" thickTop="1" thickBot="1" x14ac:dyDescent="0.3">
      <c r="A29" s="480"/>
      <c r="B29" s="944" t="s">
        <v>358</v>
      </c>
      <c r="C29" s="944"/>
      <c r="D29" s="942" t="s">
        <v>359</v>
      </c>
      <c r="E29" s="942"/>
      <c r="F29" s="942"/>
      <c r="G29" s="942"/>
      <c r="H29" s="942"/>
      <c r="I29" s="522"/>
      <c r="K29" s="947" t="s">
        <v>358</v>
      </c>
      <c r="L29" s="947"/>
      <c r="M29" s="942" t="s">
        <v>359</v>
      </c>
      <c r="N29" s="942"/>
      <c r="O29" s="942"/>
      <c r="P29" s="942"/>
      <c r="Q29" s="942"/>
      <c r="R29" s="522"/>
    </row>
    <row r="30" spans="1:18" ht="19.5" customHeight="1" thickBot="1" x14ac:dyDescent="0.3">
      <c r="A30" s="480"/>
      <c r="B30" s="944"/>
      <c r="C30" s="944"/>
      <c r="D30" s="482" t="s">
        <v>360</v>
      </c>
      <c r="E30" s="482" t="s">
        <v>351</v>
      </c>
      <c r="F30" s="482" t="s">
        <v>352</v>
      </c>
      <c r="G30" s="482" t="s">
        <v>353</v>
      </c>
      <c r="H30" s="482" t="s">
        <v>354</v>
      </c>
      <c r="I30" s="482" t="s">
        <v>355</v>
      </c>
      <c r="K30" s="948"/>
      <c r="L30" s="948"/>
      <c r="M30" s="482" t="s">
        <v>360</v>
      </c>
      <c r="N30" s="482" t="s">
        <v>351</v>
      </c>
      <c r="O30" s="482" t="s">
        <v>352</v>
      </c>
      <c r="P30" s="482" t="s">
        <v>353</v>
      </c>
      <c r="Q30" s="482" t="s">
        <v>354</v>
      </c>
      <c r="R30" s="482" t="s">
        <v>355</v>
      </c>
    </row>
    <row r="31" spans="1:18" ht="19.5" customHeight="1" x14ac:dyDescent="0.25">
      <c r="A31" s="480"/>
      <c r="B31" s="941" t="str">
        <f>'Budget Details'!C33</f>
        <v>Research Assistant</v>
      </c>
      <c r="C31" s="941"/>
      <c r="D31" s="27">
        <f>SUM('Budget Details'!T33,'Budget Details'!T92)</f>
        <v>0</v>
      </c>
      <c r="E31" s="27">
        <f>SUM('Budget Details'!U33,'Budget Details'!U92)</f>
        <v>0</v>
      </c>
      <c r="F31" s="27">
        <f>SUM('Budget Details'!V33,'Budget Details'!V92)</f>
        <v>0</v>
      </c>
      <c r="G31" s="27">
        <f>SUM('Budget Details'!W33,'Budget Details'!W92)</f>
        <v>0</v>
      </c>
      <c r="H31" s="27">
        <f>SUM('Budget Details'!X33,'Budget Details'!X92)</f>
        <v>0</v>
      </c>
      <c r="I31" s="525">
        <f>SUM(D31:H31)</f>
        <v>0</v>
      </c>
      <c r="K31" s="941">
        <f>'Budget Details'!N33</f>
        <v>0</v>
      </c>
      <c r="L31" s="941"/>
      <c r="M31" s="497">
        <f>SUM('Budget Details'!AE33,'Budget Details'!AE92)</f>
        <v>0</v>
      </c>
      <c r="N31" s="497">
        <f>SUM('Budget Details'!AF33,'Budget Details'!AF92)</f>
        <v>0</v>
      </c>
      <c r="O31" s="497">
        <f>SUM('Budget Details'!AG33,'Budget Details'!AG92)</f>
        <v>0</v>
      </c>
      <c r="P31" s="497">
        <f>SUM('Budget Details'!AH33,'Budget Details'!AH92)</f>
        <v>0</v>
      </c>
      <c r="Q31" s="497">
        <f>SUM('Budget Details'!AI33,'Budget Details'!AI92)</f>
        <v>0</v>
      </c>
      <c r="R31" s="532">
        <f>SUM(M31:Q31)</f>
        <v>0</v>
      </c>
    </row>
    <row r="32" spans="1:18" ht="19.5" customHeight="1" x14ac:dyDescent="0.25">
      <c r="A32" s="480"/>
      <c r="B32" s="941" t="str">
        <f>'Budget Details'!C34</f>
        <v>Post-Doc</v>
      </c>
      <c r="C32" s="941"/>
      <c r="D32" s="27">
        <f>SUM('Budget Details'!T34,'Budget Details'!T93)</f>
        <v>0</v>
      </c>
      <c r="E32" s="27">
        <f>SUM('Budget Details'!U34,'Budget Details'!U93)</f>
        <v>0</v>
      </c>
      <c r="F32" s="27">
        <f>SUM('Budget Details'!V34,'Budget Details'!V93)</f>
        <v>0</v>
      </c>
      <c r="G32" s="27">
        <f>SUM('Budget Details'!W34,'Budget Details'!W93)</f>
        <v>0</v>
      </c>
      <c r="H32" s="27">
        <f>SUM('Budget Details'!X34,'Budget Details'!X93)</f>
        <v>0</v>
      </c>
      <c r="I32" s="525">
        <f t="shared" ref="I32:I51" si="4">SUM(D32:H32)</f>
        <v>0</v>
      </c>
      <c r="K32" s="941">
        <f>'Budget Details'!N34</f>
        <v>0</v>
      </c>
      <c r="L32" s="941"/>
      <c r="M32" s="497">
        <f>SUM('Budget Details'!AE34,'Budget Details'!AE93)</f>
        <v>0</v>
      </c>
      <c r="N32" s="497">
        <f>SUM('Budget Details'!AF34,'Budget Details'!AF93)</f>
        <v>0</v>
      </c>
      <c r="O32" s="497">
        <f>SUM('Budget Details'!AG34,'Budget Details'!AG93)</f>
        <v>0</v>
      </c>
      <c r="P32" s="497">
        <f>SUM('Budget Details'!AH34,'Budget Details'!AH93)</f>
        <v>0</v>
      </c>
      <c r="Q32" s="497">
        <f>SUM('Budget Details'!AI34,'Budget Details'!AI93)</f>
        <v>0</v>
      </c>
      <c r="R32" s="532">
        <f t="shared" ref="R32:R51" si="5">SUM(M32:Q32)</f>
        <v>0</v>
      </c>
    </row>
    <row r="33" spans="1:18" ht="19.5" customHeight="1" x14ac:dyDescent="0.25">
      <c r="A33" s="480"/>
      <c r="B33" s="941" t="str">
        <f>'Budget Details'!C35</f>
        <v xml:space="preserve">Undergrad - AY </v>
      </c>
      <c r="C33" s="941"/>
      <c r="D33" s="27">
        <f>SUM('Budget Details'!T35,'Budget Details'!T94)</f>
        <v>0</v>
      </c>
      <c r="E33" s="27">
        <f>SUM('Budget Details'!U35,'Budget Details'!U94)</f>
        <v>0</v>
      </c>
      <c r="F33" s="27">
        <f>SUM('Budget Details'!V35,'Budget Details'!V94)</f>
        <v>0</v>
      </c>
      <c r="G33" s="27">
        <f>SUM('Budget Details'!W35,'Budget Details'!W94)</f>
        <v>0</v>
      </c>
      <c r="H33" s="27">
        <f>SUM('Budget Details'!X35,'Budget Details'!X94)</f>
        <v>0</v>
      </c>
      <c r="I33" s="525">
        <f t="shared" si="4"/>
        <v>0</v>
      </c>
      <c r="K33" s="941">
        <f>'Budget Details'!N35</f>
        <v>0</v>
      </c>
      <c r="L33" s="941"/>
      <c r="M33" s="497">
        <f>SUM('Budget Details'!AE35,'Budget Details'!AE94)</f>
        <v>0</v>
      </c>
      <c r="N33" s="497">
        <f>SUM('Budget Details'!AF35,'Budget Details'!AF94)</f>
        <v>0</v>
      </c>
      <c r="O33" s="497">
        <f>SUM('Budget Details'!AG35,'Budget Details'!AG94)</f>
        <v>0</v>
      </c>
      <c r="P33" s="497">
        <f>SUM('Budget Details'!AH35,'Budget Details'!AH94)</f>
        <v>0</v>
      </c>
      <c r="Q33" s="497">
        <f>SUM('Budget Details'!AI35,'Budget Details'!AI94)</f>
        <v>0</v>
      </c>
      <c r="R33" s="532">
        <f t="shared" si="5"/>
        <v>0</v>
      </c>
    </row>
    <row r="34" spans="1:18" ht="19.5" customHeight="1" x14ac:dyDescent="0.25">
      <c r="A34" s="480"/>
      <c r="B34" s="941" t="str">
        <f>'Budget Details'!C36</f>
        <v>Undergrad - SM</v>
      </c>
      <c r="C34" s="941"/>
      <c r="D34" s="27">
        <f>SUM('Budget Details'!T36,'Budget Details'!T95)</f>
        <v>0</v>
      </c>
      <c r="E34" s="27">
        <f>SUM('Budget Details'!U36,'Budget Details'!U95)</f>
        <v>0</v>
      </c>
      <c r="F34" s="27">
        <f>SUM('Budget Details'!V36,'Budget Details'!V95)</f>
        <v>0</v>
      </c>
      <c r="G34" s="27">
        <f>SUM('Budget Details'!W36,'Budget Details'!W95)</f>
        <v>0</v>
      </c>
      <c r="H34" s="27">
        <f>SUM('Budget Details'!X36,'Budget Details'!X95)</f>
        <v>0</v>
      </c>
      <c r="I34" s="525">
        <f t="shared" si="4"/>
        <v>0</v>
      </c>
      <c r="K34" s="941">
        <f>'Budget Details'!N36</f>
        <v>0</v>
      </c>
      <c r="L34" s="941"/>
      <c r="M34" s="497">
        <f>SUM('Budget Details'!AE36,'Budget Details'!AE95)</f>
        <v>0</v>
      </c>
      <c r="N34" s="497">
        <f>SUM('Budget Details'!AF36,'Budget Details'!AF95)</f>
        <v>0</v>
      </c>
      <c r="O34" s="497">
        <f>SUM('Budget Details'!AG36,'Budget Details'!AG95)</f>
        <v>0</v>
      </c>
      <c r="P34" s="497">
        <f>SUM('Budget Details'!AH36,'Budget Details'!AH95)</f>
        <v>0</v>
      </c>
      <c r="Q34" s="497">
        <f>SUM('Budget Details'!AI36,'Budget Details'!AI95)</f>
        <v>0</v>
      </c>
      <c r="R34" s="532">
        <f t="shared" si="5"/>
        <v>0</v>
      </c>
    </row>
    <row r="35" spans="1:18" ht="19.5" customHeight="1" x14ac:dyDescent="0.25">
      <c r="A35" s="480"/>
      <c r="B35" s="941" t="str">
        <f>'Budget Details'!C37</f>
        <v>Temp Employee</v>
      </c>
      <c r="C35" s="941"/>
      <c r="D35" s="27">
        <f>SUM('Budget Details'!T37,'Budget Details'!T96)</f>
        <v>0</v>
      </c>
      <c r="E35" s="27">
        <f>SUM('Budget Details'!U37,'Budget Details'!U96)</f>
        <v>0</v>
      </c>
      <c r="F35" s="27">
        <f>SUM('Budget Details'!V37,'Budget Details'!V96)</f>
        <v>0</v>
      </c>
      <c r="G35" s="27">
        <f>SUM('Budget Details'!W37,'Budget Details'!W96)</f>
        <v>0</v>
      </c>
      <c r="H35" s="27">
        <f>SUM('Budget Details'!X37,'Budget Details'!X96)</f>
        <v>0</v>
      </c>
      <c r="I35" s="525">
        <f t="shared" si="4"/>
        <v>0</v>
      </c>
      <c r="K35" s="941">
        <f>'Budget Details'!N37</f>
        <v>0</v>
      </c>
      <c r="L35" s="941"/>
      <c r="M35" s="497">
        <f>SUM('Budget Details'!AE37,'Budget Details'!AE96)</f>
        <v>0</v>
      </c>
      <c r="N35" s="497">
        <f>SUM('Budget Details'!AF37,'Budget Details'!AF96)</f>
        <v>0</v>
      </c>
      <c r="O35" s="497">
        <f>SUM('Budget Details'!AG37,'Budget Details'!AG96)</f>
        <v>0</v>
      </c>
      <c r="P35" s="497">
        <f>SUM('Budget Details'!AH37,'Budget Details'!AH96)</f>
        <v>0</v>
      </c>
      <c r="Q35" s="497">
        <f>SUM('Budget Details'!AI37,'Budget Details'!AI96)</f>
        <v>0</v>
      </c>
      <c r="R35" s="532">
        <f t="shared" si="5"/>
        <v>0</v>
      </c>
    </row>
    <row r="36" spans="1:18" ht="19.5" customHeight="1" x14ac:dyDescent="0.25">
      <c r="A36" s="480"/>
      <c r="B36" s="941" t="str">
        <f>'Budget Details'!C38</f>
        <v>Student Worker</v>
      </c>
      <c r="C36" s="941"/>
      <c r="D36" s="27">
        <f>SUM('Budget Details'!T38,'Budget Details'!T97)</f>
        <v>0</v>
      </c>
      <c r="E36" s="27">
        <f>SUM('Budget Details'!U38,'Budget Details'!U97)</f>
        <v>0</v>
      </c>
      <c r="F36" s="27">
        <f>SUM('Budget Details'!V38,'Budget Details'!V97)</f>
        <v>0</v>
      </c>
      <c r="G36" s="27">
        <f>SUM('Budget Details'!W38,'Budget Details'!W97)</f>
        <v>0</v>
      </c>
      <c r="H36" s="27">
        <f>SUM('Budget Details'!X38,'Budget Details'!X97)</f>
        <v>0</v>
      </c>
      <c r="I36" s="525">
        <f t="shared" si="4"/>
        <v>0</v>
      </c>
      <c r="K36" s="941">
        <f>'Budget Details'!N38</f>
        <v>0</v>
      </c>
      <c r="L36" s="941"/>
      <c r="M36" s="497">
        <f>SUM('Budget Details'!AE38,'Budget Details'!AE97)</f>
        <v>0</v>
      </c>
      <c r="N36" s="497">
        <f>SUM('Budget Details'!AF38,'Budget Details'!AF97)</f>
        <v>0</v>
      </c>
      <c r="O36" s="497">
        <f>SUM('Budget Details'!AG38,'Budget Details'!AG97)</f>
        <v>0</v>
      </c>
      <c r="P36" s="497">
        <f>SUM('Budget Details'!AH38,'Budget Details'!AH97)</f>
        <v>0</v>
      </c>
      <c r="Q36" s="497">
        <f>SUM('Budget Details'!AI38,'Budget Details'!AI97)</f>
        <v>0</v>
      </c>
      <c r="R36" s="532">
        <f t="shared" si="5"/>
        <v>0</v>
      </c>
    </row>
    <row r="37" spans="1:18" ht="19.5" customHeight="1" x14ac:dyDescent="0.25">
      <c r="A37" s="480"/>
      <c r="B37" s="941">
        <f>'Budget Details'!C39</f>
        <v>0</v>
      </c>
      <c r="C37" s="941"/>
      <c r="D37" s="27">
        <f>SUM('Budget Details'!T39,'Budget Details'!T98)</f>
        <v>0</v>
      </c>
      <c r="E37" s="27">
        <f>SUM('Budget Details'!U39,'Budget Details'!U98)</f>
        <v>0</v>
      </c>
      <c r="F37" s="27">
        <f>SUM('Budget Details'!V39,'Budget Details'!V98)</f>
        <v>0</v>
      </c>
      <c r="G37" s="27">
        <f>SUM('Budget Details'!W39,'Budget Details'!W98)</f>
        <v>0</v>
      </c>
      <c r="H37" s="27">
        <f>SUM('Budget Details'!X39,'Budget Details'!X98)</f>
        <v>0</v>
      </c>
      <c r="I37" s="525">
        <f t="shared" si="4"/>
        <v>0</v>
      </c>
      <c r="K37" s="941">
        <f>'Budget Details'!N39</f>
        <v>0</v>
      </c>
      <c r="L37" s="941"/>
      <c r="M37" s="497">
        <f>SUM('Budget Details'!AE39,'Budget Details'!AE98)</f>
        <v>0</v>
      </c>
      <c r="N37" s="497">
        <f>SUM('Budget Details'!AF39,'Budget Details'!AF98)</f>
        <v>0</v>
      </c>
      <c r="O37" s="497">
        <f>SUM('Budget Details'!AG39,'Budget Details'!AG98)</f>
        <v>0</v>
      </c>
      <c r="P37" s="497">
        <f>SUM('Budget Details'!AH39,'Budget Details'!AH98)</f>
        <v>0</v>
      </c>
      <c r="Q37" s="497">
        <f>SUM('Budget Details'!AI39,'Budget Details'!AI98)</f>
        <v>0</v>
      </c>
      <c r="R37" s="532">
        <f t="shared" si="5"/>
        <v>0</v>
      </c>
    </row>
    <row r="38" spans="1:18" ht="19.5" customHeight="1" x14ac:dyDescent="0.25">
      <c r="A38" s="480"/>
      <c r="B38" s="941">
        <f>'Budget Details'!C40</f>
        <v>0</v>
      </c>
      <c r="C38" s="941"/>
      <c r="D38" s="27">
        <f>SUM('Budget Details'!T40,'Budget Details'!T99)</f>
        <v>0</v>
      </c>
      <c r="E38" s="27">
        <f>SUM('Budget Details'!U40,'Budget Details'!U99)</f>
        <v>0</v>
      </c>
      <c r="F38" s="27">
        <f>SUM('Budget Details'!V40,'Budget Details'!V99)</f>
        <v>0</v>
      </c>
      <c r="G38" s="27">
        <f>SUM('Budget Details'!W40,'Budget Details'!W99)</f>
        <v>0</v>
      </c>
      <c r="H38" s="27">
        <f>SUM('Budget Details'!X40,'Budget Details'!X99)</f>
        <v>0</v>
      </c>
      <c r="I38" s="525">
        <f t="shared" si="4"/>
        <v>0</v>
      </c>
      <c r="K38" s="941">
        <f>'Budget Details'!N40</f>
        <v>0</v>
      </c>
      <c r="L38" s="941"/>
      <c r="M38" s="497">
        <f>SUM('Budget Details'!AE40,'Budget Details'!AE99)</f>
        <v>0</v>
      </c>
      <c r="N38" s="497">
        <f>SUM('Budget Details'!AF40,'Budget Details'!AF99)</f>
        <v>0</v>
      </c>
      <c r="O38" s="497">
        <f>SUM('Budget Details'!AG40,'Budget Details'!AG99)</f>
        <v>0</v>
      </c>
      <c r="P38" s="497">
        <f>SUM('Budget Details'!AH40,'Budget Details'!AH99)</f>
        <v>0</v>
      </c>
      <c r="Q38" s="497">
        <f>SUM('Budget Details'!AI40,'Budget Details'!AI99)</f>
        <v>0</v>
      </c>
      <c r="R38" s="532">
        <f t="shared" si="5"/>
        <v>0</v>
      </c>
    </row>
    <row r="39" spans="1:18" ht="19.5" customHeight="1" x14ac:dyDescent="0.25">
      <c r="A39" s="480"/>
      <c r="B39" s="941">
        <f>'Budget Details'!C41</f>
        <v>0</v>
      </c>
      <c r="C39" s="941"/>
      <c r="D39" s="27">
        <f>SUM('Budget Details'!T41,'Budget Details'!T100)</f>
        <v>0</v>
      </c>
      <c r="E39" s="27">
        <f>SUM('Budget Details'!U41,'Budget Details'!U100)</f>
        <v>0</v>
      </c>
      <c r="F39" s="27">
        <f>SUM('Budget Details'!V41,'Budget Details'!V100)</f>
        <v>0</v>
      </c>
      <c r="G39" s="27">
        <f>SUM('Budget Details'!W41,'Budget Details'!W100)</f>
        <v>0</v>
      </c>
      <c r="H39" s="27">
        <f>SUM('Budget Details'!X41,'Budget Details'!X100)</f>
        <v>0</v>
      </c>
      <c r="I39" s="525">
        <f t="shared" si="4"/>
        <v>0</v>
      </c>
      <c r="K39" s="941">
        <f>'Budget Details'!N41</f>
        <v>0</v>
      </c>
      <c r="L39" s="941"/>
      <c r="M39" s="497">
        <f>SUM('Budget Details'!AE41,'Budget Details'!AE100)</f>
        <v>0</v>
      </c>
      <c r="N39" s="497">
        <f>SUM('Budget Details'!AF41,'Budget Details'!AF100)</f>
        <v>0</v>
      </c>
      <c r="O39" s="497">
        <f>SUM('Budget Details'!AG41,'Budget Details'!AG100)</f>
        <v>0</v>
      </c>
      <c r="P39" s="497">
        <f>SUM('Budget Details'!AH41,'Budget Details'!AH100)</f>
        <v>0</v>
      </c>
      <c r="Q39" s="497">
        <f>SUM('Budget Details'!AI41,'Budget Details'!AI100)</f>
        <v>0</v>
      </c>
      <c r="R39" s="532">
        <f t="shared" si="5"/>
        <v>0</v>
      </c>
    </row>
    <row r="40" spans="1:18" ht="19.5" customHeight="1" x14ac:dyDescent="0.25">
      <c r="A40" s="480"/>
      <c r="B40" s="941">
        <f>'Budget Details'!C42</f>
        <v>0</v>
      </c>
      <c r="C40" s="941"/>
      <c r="D40" s="27">
        <f>SUM('Budget Details'!T42,'Budget Details'!T101)</f>
        <v>0</v>
      </c>
      <c r="E40" s="27">
        <f>SUM('Budget Details'!U42,'Budget Details'!U101)</f>
        <v>0</v>
      </c>
      <c r="F40" s="27">
        <f>SUM('Budget Details'!V42,'Budget Details'!V101)</f>
        <v>0</v>
      </c>
      <c r="G40" s="27">
        <f>SUM('Budget Details'!W42,'Budget Details'!W101)</f>
        <v>0</v>
      </c>
      <c r="H40" s="27">
        <f>SUM('Budget Details'!X42,'Budget Details'!X101)</f>
        <v>0</v>
      </c>
      <c r="I40" s="525">
        <f t="shared" si="4"/>
        <v>0</v>
      </c>
      <c r="K40" s="941">
        <f>'Budget Details'!N42</f>
        <v>0</v>
      </c>
      <c r="L40" s="941"/>
      <c r="M40" s="497">
        <f>SUM('Budget Details'!AE42,'Budget Details'!AE101)</f>
        <v>0</v>
      </c>
      <c r="N40" s="497">
        <f>SUM('Budget Details'!AF42,'Budget Details'!AF101)</f>
        <v>0</v>
      </c>
      <c r="O40" s="497">
        <f>SUM('Budget Details'!AG42,'Budget Details'!AG101)</f>
        <v>0</v>
      </c>
      <c r="P40" s="497">
        <f>SUM('Budget Details'!AH42,'Budget Details'!AH101)</f>
        <v>0</v>
      </c>
      <c r="Q40" s="497">
        <f>SUM('Budget Details'!AI42,'Budget Details'!AI101)</f>
        <v>0</v>
      </c>
      <c r="R40" s="532">
        <f t="shared" si="5"/>
        <v>0</v>
      </c>
    </row>
    <row r="41" spans="1:18" ht="19.5" hidden="1" customHeight="1" outlineLevel="1" x14ac:dyDescent="0.25">
      <c r="A41" s="480"/>
      <c r="B41" s="941">
        <f>'Budget Details'!C43</f>
        <v>0</v>
      </c>
      <c r="C41" s="941"/>
      <c r="D41" s="27">
        <f>SUM('Budget Details'!T43,'Budget Details'!T102)</f>
        <v>0</v>
      </c>
      <c r="E41" s="27">
        <f>SUM('Budget Details'!U43,'Budget Details'!U102)</f>
        <v>0</v>
      </c>
      <c r="F41" s="27">
        <f>SUM('Budget Details'!V43,'Budget Details'!V102)</f>
        <v>0</v>
      </c>
      <c r="G41" s="27">
        <f>SUM('Budget Details'!W43,'Budget Details'!W102)</f>
        <v>0</v>
      </c>
      <c r="H41" s="27">
        <f>SUM('Budget Details'!X43,'Budget Details'!X102)</f>
        <v>0</v>
      </c>
      <c r="I41" s="525">
        <f t="shared" si="4"/>
        <v>0</v>
      </c>
      <c r="K41" s="941">
        <f>'Budget Details'!N43</f>
        <v>0</v>
      </c>
      <c r="L41" s="941"/>
      <c r="M41" s="497">
        <f>SUM('Budget Details'!AE43,'Budget Details'!AE102)</f>
        <v>0</v>
      </c>
      <c r="N41" s="497">
        <f>SUM('Budget Details'!AF43,'Budget Details'!AF102)</f>
        <v>0</v>
      </c>
      <c r="O41" s="497">
        <f>SUM('Budget Details'!AG43,'Budget Details'!AG102)</f>
        <v>0</v>
      </c>
      <c r="P41" s="497">
        <f>SUM('Budget Details'!AH43,'Budget Details'!AH102)</f>
        <v>0</v>
      </c>
      <c r="Q41" s="497">
        <f>SUM('Budget Details'!AI43,'Budget Details'!AI102)</f>
        <v>0</v>
      </c>
      <c r="R41" s="532">
        <f t="shared" si="5"/>
        <v>0</v>
      </c>
    </row>
    <row r="42" spans="1:18" ht="19.5" hidden="1" customHeight="1" outlineLevel="1" x14ac:dyDescent="0.25">
      <c r="A42" s="480"/>
      <c r="B42" s="941">
        <f>'Budget Details'!C44</f>
        <v>0</v>
      </c>
      <c r="C42" s="941"/>
      <c r="D42" s="27">
        <f>SUM('Budget Details'!T44,'Budget Details'!T103)</f>
        <v>0</v>
      </c>
      <c r="E42" s="27">
        <f>SUM('Budget Details'!U44,'Budget Details'!U103)</f>
        <v>0</v>
      </c>
      <c r="F42" s="27">
        <f>SUM('Budget Details'!V44,'Budget Details'!V103)</f>
        <v>0</v>
      </c>
      <c r="G42" s="27">
        <f>SUM('Budget Details'!W44,'Budget Details'!W103)</f>
        <v>0</v>
      </c>
      <c r="H42" s="27">
        <f>SUM('Budget Details'!X44,'Budget Details'!X103)</f>
        <v>0</v>
      </c>
      <c r="I42" s="525">
        <f t="shared" si="4"/>
        <v>0</v>
      </c>
      <c r="K42" s="941">
        <f>'Budget Details'!N44</f>
        <v>0</v>
      </c>
      <c r="L42" s="941"/>
      <c r="M42" s="497">
        <f>SUM('Budget Details'!AE44,'Budget Details'!AE103)</f>
        <v>0</v>
      </c>
      <c r="N42" s="497">
        <f>SUM('Budget Details'!AF44,'Budget Details'!AF103)</f>
        <v>0</v>
      </c>
      <c r="O42" s="497">
        <f>SUM('Budget Details'!AG44,'Budget Details'!AG103)</f>
        <v>0</v>
      </c>
      <c r="P42" s="497">
        <f>SUM('Budget Details'!AH44,'Budget Details'!AH103)</f>
        <v>0</v>
      </c>
      <c r="Q42" s="497">
        <f>SUM('Budget Details'!AI44,'Budget Details'!AI103)</f>
        <v>0</v>
      </c>
      <c r="R42" s="532">
        <f t="shared" si="5"/>
        <v>0</v>
      </c>
    </row>
    <row r="43" spans="1:18" ht="19.5" hidden="1" customHeight="1" outlineLevel="1" x14ac:dyDescent="0.25">
      <c r="A43" s="480"/>
      <c r="B43" s="941">
        <f>'Budget Details'!C45</f>
        <v>0</v>
      </c>
      <c r="C43" s="941"/>
      <c r="D43" s="27">
        <f>SUM('Budget Details'!T45,'Budget Details'!T104)</f>
        <v>0</v>
      </c>
      <c r="E43" s="27">
        <f>SUM('Budget Details'!U45,'Budget Details'!U104)</f>
        <v>0</v>
      </c>
      <c r="F43" s="27">
        <f>SUM('Budget Details'!V45,'Budget Details'!V104)</f>
        <v>0</v>
      </c>
      <c r="G43" s="27">
        <f>SUM('Budget Details'!W45,'Budget Details'!W104)</f>
        <v>0</v>
      </c>
      <c r="H43" s="27">
        <f>SUM('Budget Details'!X45,'Budget Details'!X104)</f>
        <v>0</v>
      </c>
      <c r="I43" s="525">
        <f t="shared" si="4"/>
        <v>0</v>
      </c>
      <c r="K43" s="941">
        <f>'Budget Details'!N45</f>
        <v>0</v>
      </c>
      <c r="L43" s="941"/>
      <c r="M43" s="497">
        <f>SUM('Budget Details'!AE45,'Budget Details'!AE104)</f>
        <v>0</v>
      </c>
      <c r="N43" s="497">
        <f>SUM('Budget Details'!AF45,'Budget Details'!AF104)</f>
        <v>0</v>
      </c>
      <c r="O43" s="497">
        <f>SUM('Budget Details'!AG45,'Budget Details'!AG104)</f>
        <v>0</v>
      </c>
      <c r="P43" s="497">
        <f>SUM('Budget Details'!AH45,'Budget Details'!AH104)</f>
        <v>0</v>
      </c>
      <c r="Q43" s="497">
        <f>SUM('Budget Details'!AI45,'Budget Details'!AI104)</f>
        <v>0</v>
      </c>
      <c r="R43" s="532">
        <f t="shared" si="5"/>
        <v>0</v>
      </c>
    </row>
    <row r="44" spans="1:18" ht="19.5" hidden="1" customHeight="1" outlineLevel="1" x14ac:dyDescent="0.25">
      <c r="A44" s="480"/>
      <c r="B44" s="941">
        <f>'Budget Details'!C46</f>
        <v>0</v>
      </c>
      <c r="C44" s="941"/>
      <c r="D44" s="27">
        <f>SUM('Budget Details'!T46,'Budget Details'!T105)</f>
        <v>0</v>
      </c>
      <c r="E44" s="27">
        <f>SUM('Budget Details'!U46,'Budget Details'!U105)</f>
        <v>0</v>
      </c>
      <c r="F44" s="27">
        <f>SUM('Budget Details'!V46,'Budget Details'!V105)</f>
        <v>0</v>
      </c>
      <c r="G44" s="27">
        <f>SUM('Budget Details'!W46,'Budget Details'!W105)</f>
        <v>0</v>
      </c>
      <c r="H44" s="27">
        <f>SUM('Budget Details'!X46,'Budget Details'!X105)</f>
        <v>0</v>
      </c>
      <c r="I44" s="525">
        <f t="shared" si="4"/>
        <v>0</v>
      </c>
      <c r="K44" s="941">
        <f>'Budget Details'!N46</f>
        <v>0</v>
      </c>
      <c r="L44" s="941"/>
      <c r="M44" s="497">
        <f>SUM('Budget Details'!AE46,'Budget Details'!AE105)</f>
        <v>0</v>
      </c>
      <c r="N44" s="497">
        <f>SUM('Budget Details'!AF46,'Budget Details'!AF105)</f>
        <v>0</v>
      </c>
      <c r="O44" s="497">
        <f>SUM('Budget Details'!AG46,'Budget Details'!AG105)</f>
        <v>0</v>
      </c>
      <c r="P44" s="497">
        <f>SUM('Budget Details'!AH46,'Budget Details'!AH105)</f>
        <v>0</v>
      </c>
      <c r="Q44" s="497">
        <f>SUM('Budget Details'!AI46,'Budget Details'!AI105)</f>
        <v>0</v>
      </c>
      <c r="R44" s="532">
        <f t="shared" si="5"/>
        <v>0</v>
      </c>
    </row>
    <row r="45" spans="1:18" ht="19.5" hidden="1" customHeight="1" outlineLevel="1" x14ac:dyDescent="0.25">
      <c r="A45" s="480"/>
      <c r="B45" s="941">
        <f>'Budget Details'!C47</f>
        <v>0</v>
      </c>
      <c r="C45" s="941"/>
      <c r="D45" s="27">
        <f>SUM('Budget Details'!T47,'Budget Details'!T106)</f>
        <v>0</v>
      </c>
      <c r="E45" s="27">
        <f>SUM('Budget Details'!U47,'Budget Details'!U106)</f>
        <v>0</v>
      </c>
      <c r="F45" s="27">
        <f>SUM('Budget Details'!V47,'Budget Details'!V106)</f>
        <v>0</v>
      </c>
      <c r="G45" s="27">
        <f>SUM('Budget Details'!W47,'Budget Details'!W106)</f>
        <v>0</v>
      </c>
      <c r="H45" s="27">
        <f>SUM('Budget Details'!X47,'Budget Details'!X106)</f>
        <v>0</v>
      </c>
      <c r="I45" s="525">
        <f t="shared" si="4"/>
        <v>0</v>
      </c>
      <c r="K45" s="941">
        <f>'Budget Details'!N47</f>
        <v>0</v>
      </c>
      <c r="L45" s="941"/>
      <c r="M45" s="497">
        <f>SUM('Budget Details'!AE47,'Budget Details'!AE106)</f>
        <v>0</v>
      </c>
      <c r="N45" s="497">
        <f>SUM('Budget Details'!AF47,'Budget Details'!AF106)</f>
        <v>0</v>
      </c>
      <c r="O45" s="497">
        <f>SUM('Budget Details'!AG47,'Budget Details'!AG106)</f>
        <v>0</v>
      </c>
      <c r="P45" s="497">
        <f>SUM('Budget Details'!AH47,'Budget Details'!AH106)</f>
        <v>0</v>
      </c>
      <c r="Q45" s="497">
        <f>SUM('Budget Details'!AI47,'Budget Details'!AI106)</f>
        <v>0</v>
      </c>
      <c r="R45" s="532">
        <f t="shared" si="5"/>
        <v>0</v>
      </c>
    </row>
    <row r="46" spans="1:18" ht="19.5" hidden="1" customHeight="1" outlineLevel="1" x14ac:dyDescent="0.25">
      <c r="A46" s="480"/>
      <c r="B46" s="941">
        <f>'Budget Details'!C48</f>
        <v>0</v>
      </c>
      <c r="C46" s="941"/>
      <c r="D46" s="27">
        <f>SUM('Budget Details'!T48,'Budget Details'!T107)</f>
        <v>0</v>
      </c>
      <c r="E46" s="27">
        <f>SUM('Budget Details'!U48,'Budget Details'!U107)</f>
        <v>0</v>
      </c>
      <c r="F46" s="27">
        <f>SUM('Budget Details'!V48,'Budget Details'!V107)</f>
        <v>0</v>
      </c>
      <c r="G46" s="27">
        <f>SUM('Budget Details'!W48,'Budget Details'!W107)</f>
        <v>0</v>
      </c>
      <c r="H46" s="27">
        <f>SUM('Budget Details'!X48,'Budget Details'!X107)</f>
        <v>0</v>
      </c>
      <c r="I46" s="525">
        <f t="shared" si="4"/>
        <v>0</v>
      </c>
      <c r="K46" s="941">
        <f>'Budget Details'!N48</f>
        <v>0</v>
      </c>
      <c r="L46" s="941"/>
      <c r="M46" s="497">
        <f>SUM('Budget Details'!AE48,'Budget Details'!AE107)</f>
        <v>0</v>
      </c>
      <c r="N46" s="497">
        <f>SUM('Budget Details'!AF48,'Budget Details'!AF107)</f>
        <v>0</v>
      </c>
      <c r="O46" s="497">
        <f>SUM('Budget Details'!AG48,'Budget Details'!AG107)</f>
        <v>0</v>
      </c>
      <c r="P46" s="497">
        <f>SUM('Budget Details'!AH48,'Budget Details'!AH107)</f>
        <v>0</v>
      </c>
      <c r="Q46" s="497">
        <f>SUM('Budget Details'!AI48,'Budget Details'!AI107)</f>
        <v>0</v>
      </c>
      <c r="R46" s="532">
        <f t="shared" si="5"/>
        <v>0</v>
      </c>
    </row>
    <row r="47" spans="1:18" ht="19.5" hidden="1" customHeight="1" outlineLevel="1" x14ac:dyDescent="0.25">
      <c r="A47" s="480"/>
      <c r="B47" s="941">
        <f>'Budget Details'!C49</f>
        <v>0</v>
      </c>
      <c r="C47" s="941"/>
      <c r="D47" s="27">
        <f>SUM('Budget Details'!T49,'Budget Details'!T108)</f>
        <v>0</v>
      </c>
      <c r="E47" s="27">
        <f>SUM('Budget Details'!U49,'Budget Details'!U108)</f>
        <v>0</v>
      </c>
      <c r="F47" s="27">
        <f>SUM('Budget Details'!V49,'Budget Details'!V108)</f>
        <v>0</v>
      </c>
      <c r="G47" s="27">
        <f>SUM('Budget Details'!W49,'Budget Details'!W108)</f>
        <v>0</v>
      </c>
      <c r="H47" s="27">
        <f>SUM('Budget Details'!X49,'Budget Details'!X108)</f>
        <v>0</v>
      </c>
      <c r="I47" s="525">
        <f t="shared" si="4"/>
        <v>0</v>
      </c>
      <c r="K47" s="941">
        <f>'Budget Details'!N49</f>
        <v>0</v>
      </c>
      <c r="L47" s="941"/>
      <c r="M47" s="497">
        <f>SUM('Budget Details'!AE49,'Budget Details'!AE108)</f>
        <v>0</v>
      </c>
      <c r="N47" s="497">
        <f>SUM('Budget Details'!AF49,'Budget Details'!AF108)</f>
        <v>0</v>
      </c>
      <c r="O47" s="497">
        <f>SUM('Budget Details'!AG49,'Budget Details'!AG108)</f>
        <v>0</v>
      </c>
      <c r="P47" s="497">
        <f>SUM('Budget Details'!AH49,'Budget Details'!AH108)</f>
        <v>0</v>
      </c>
      <c r="Q47" s="497">
        <f>SUM('Budget Details'!AI49,'Budget Details'!AI108)</f>
        <v>0</v>
      </c>
      <c r="R47" s="532">
        <f t="shared" si="5"/>
        <v>0</v>
      </c>
    </row>
    <row r="48" spans="1:18" ht="19.5" hidden="1" customHeight="1" outlineLevel="1" x14ac:dyDescent="0.25">
      <c r="A48" s="480"/>
      <c r="B48" s="941">
        <f>'Budget Details'!C50</f>
        <v>0</v>
      </c>
      <c r="C48" s="941"/>
      <c r="D48" s="27">
        <f>SUM('Budget Details'!T50,'Budget Details'!T109)</f>
        <v>0</v>
      </c>
      <c r="E48" s="27">
        <f>SUM('Budget Details'!U50,'Budget Details'!U109)</f>
        <v>0</v>
      </c>
      <c r="F48" s="27">
        <f>SUM('Budget Details'!V50,'Budget Details'!V109)</f>
        <v>0</v>
      </c>
      <c r="G48" s="27">
        <f>SUM('Budget Details'!W50,'Budget Details'!W109)</f>
        <v>0</v>
      </c>
      <c r="H48" s="27">
        <f>SUM('Budget Details'!X50,'Budget Details'!X109)</f>
        <v>0</v>
      </c>
      <c r="I48" s="525">
        <f t="shared" si="4"/>
        <v>0</v>
      </c>
      <c r="K48" s="941">
        <f>'Budget Details'!N50</f>
        <v>0</v>
      </c>
      <c r="L48" s="941"/>
      <c r="M48" s="497">
        <f>SUM('Budget Details'!AE50,'Budget Details'!AE109)</f>
        <v>0</v>
      </c>
      <c r="N48" s="497">
        <f>SUM('Budget Details'!AF50,'Budget Details'!AF109)</f>
        <v>0</v>
      </c>
      <c r="O48" s="497">
        <f>SUM('Budget Details'!AG50,'Budget Details'!AG109)</f>
        <v>0</v>
      </c>
      <c r="P48" s="497">
        <f>SUM('Budget Details'!AH50,'Budget Details'!AH109)</f>
        <v>0</v>
      </c>
      <c r="Q48" s="497">
        <f>SUM('Budget Details'!AI50,'Budget Details'!AI109)</f>
        <v>0</v>
      </c>
      <c r="R48" s="532">
        <f t="shared" si="5"/>
        <v>0</v>
      </c>
    </row>
    <row r="49" spans="1:18" ht="19.5" hidden="1" customHeight="1" outlineLevel="1" x14ac:dyDescent="0.25">
      <c r="A49" s="480"/>
      <c r="B49" s="941">
        <f>'Budget Details'!C51</f>
        <v>0</v>
      </c>
      <c r="C49" s="941"/>
      <c r="D49" s="27">
        <f>SUM('Budget Details'!T51,'Budget Details'!T110)</f>
        <v>0</v>
      </c>
      <c r="E49" s="27">
        <f>SUM('Budget Details'!U51,'Budget Details'!U110)</f>
        <v>0</v>
      </c>
      <c r="F49" s="27">
        <f>SUM('Budget Details'!V51,'Budget Details'!V110)</f>
        <v>0</v>
      </c>
      <c r="G49" s="27">
        <f>SUM('Budget Details'!W51,'Budget Details'!W110)</f>
        <v>0</v>
      </c>
      <c r="H49" s="27">
        <f>SUM('Budget Details'!X51,'Budget Details'!X110)</f>
        <v>0</v>
      </c>
      <c r="I49" s="525">
        <f t="shared" si="4"/>
        <v>0</v>
      </c>
      <c r="K49" s="941">
        <f>'Budget Details'!N51</f>
        <v>0</v>
      </c>
      <c r="L49" s="941"/>
      <c r="M49" s="497">
        <f>SUM('Budget Details'!AE51,'Budget Details'!AE110)</f>
        <v>0</v>
      </c>
      <c r="N49" s="497">
        <f>SUM('Budget Details'!AF51,'Budget Details'!AF110)</f>
        <v>0</v>
      </c>
      <c r="O49" s="497">
        <f>SUM('Budget Details'!AG51,'Budget Details'!AG110)</f>
        <v>0</v>
      </c>
      <c r="P49" s="497">
        <f>SUM('Budget Details'!AH51,'Budget Details'!AH110)</f>
        <v>0</v>
      </c>
      <c r="Q49" s="497">
        <f>SUM('Budget Details'!AI51,'Budget Details'!AI110)</f>
        <v>0</v>
      </c>
      <c r="R49" s="532">
        <f t="shared" si="5"/>
        <v>0</v>
      </c>
    </row>
    <row r="50" spans="1:18" ht="19.5" hidden="1" customHeight="1" outlineLevel="1" x14ac:dyDescent="0.25">
      <c r="A50" s="480"/>
      <c r="B50" s="949">
        <f>'Budget Details'!C52</f>
        <v>0</v>
      </c>
      <c r="C50" s="949"/>
      <c r="D50" s="513">
        <f>SUM('Budget Details'!T52,'Budget Details'!T111)</f>
        <v>0</v>
      </c>
      <c r="E50" s="513">
        <f>SUM('Budget Details'!U52,'Budget Details'!U111)</f>
        <v>0</v>
      </c>
      <c r="F50" s="513">
        <f>SUM('Budget Details'!V52,'Budget Details'!V111)</f>
        <v>0</v>
      </c>
      <c r="G50" s="513">
        <f>SUM('Budget Details'!W52,'Budget Details'!W111)</f>
        <v>0</v>
      </c>
      <c r="H50" s="513">
        <f>SUM('Budget Details'!X52,'Budget Details'!X111)</f>
        <v>0</v>
      </c>
      <c r="I50" s="525">
        <f t="shared" si="4"/>
        <v>0</v>
      </c>
      <c r="K50" s="949">
        <f>'Budget Details'!N52</f>
        <v>0</v>
      </c>
      <c r="L50" s="949"/>
      <c r="M50" s="517">
        <f>SUM('Budget Details'!AE52,'Budget Details'!AE111)</f>
        <v>0</v>
      </c>
      <c r="N50" s="517">
        <f>SUM('Budget Details'!AF52,'Budget Details'!AF111)</f>
        <v>0</v>
      </c>
      <c r="O50" s="517">
        <f>SUM('Budget Details'!AG52,'Budget Details'!AG111)</f>
        <v>0</v>
      </c>
      <c r="P50" s="517">
        <f>SUM('Budget Details'!AH52,'Budget Details'!AH111)</f>
        <v>0</v>
      </c>
      <c r="Q50" s="517">
        <f>SUM('Budget Details'!AI52,'Budget Details'!AI111)</f>
        <v>0</v>
      </c>
      <c r="R50" s="532">
        <f t="shared" si="5"/>
        <v>0</v>
      </c>
    </row>
    <row r="51" spans="1:18" ht="19.5" customHeight="1" collapsed="1" x14ac:dyDescent="0.25">
      <c r="A51" s="480"/>
      <c r="B51" s="945" t="s">
        <v>355</v>
      </c>
      <c r="C51" s="945"/>
      <c r="D51" s="520">
        <f>SUM(D31:D50)</f>
        <v>0</v>
      </c>
      <c r="E51" s="520">
        <f t="shared" ref="E51:H51" si="6">SUM(E31:E50)</f>
        <v>0</v>
      </c>
      <c r="F51" s="520">
        <f t="shared" si="6"/>
        <v>0</v>
      </c>
      <c r="G51" s="520">
        <f t="shared" si="6"/>
        <v>0</v>
      </c>
      <c r="H51" s="520">
        <f t="shared" si="6"/>
        <v>0</v>
      </c>
      <c r="I51" s="525">
        <f t="shared" si="4"/>
        <v>0</v>
      </c>
      <c r="K51" s="939" t="s">
        <v>355</v>
      </c>
      <c r="L51" s="939"/>
      <c r="M51" s="516">
        <f>SUM(M31:M50)</f>
        <v>0</v>
      </c>
      <c r="N51" s="516">
        <f t="shared" ref="N51:Q51" si="7">SUM(N31:N50)</f>
        <v>0</v>
      </c>
      <c r="O51" s="516">
        <f t="shared" si="7"/>
        <v>0</v>
      </c>
      <c r="P51" s="516">
        <f t="shared" si="7"/>
        <v>0</v>
      </c>
      <c r="Q51" s="516">
        <f t="shared" si="7"/>
        <v>0</v>
      </c>
      <c r="R51" s="532">
        <f t="shared" si="5"/>
        <v>0</v>
      </c>
    </row>
    <row r="52" spans="1:18" ht="19.5" customHeight="1" x14ac:dyDescent="0.25">
      <c r="A52" s="480"/>
      <c r="B52" s="512"/>
      <c r="C52" s="512"/>
      <c r="D52" s="481"/>
      <c r="E52" s="481"/>
      <c r="F52" s="481"/>
      <c r="G52" s="481"/>
      <c r="H52" s="481"/>
      <c r="I52" s="481"/>
      <c r="K52" s="480"/>
      <c r="L52" s="480"/>
      <c r="M52" s="480"/>
      <c r="N52" s="480"/>
      <c r="O52" s="480"/>
      <c r="P52" s="480"/>
      <c r="Q52" s="480"/>
      <c r="R52" s="480"/>
    </row>
    <row r="53" spans="1:18" ht="19.5" customHeight="1" thickBot="1" x14ac:dyDescent="0.35">
      <c r="A53" s="480"/>
      <c r="B53" s="943" t="s">
        <v>361</v>
      </c>
      <c r="C53" s="943"/>
      <c r="D53" s="943"/>
      <c r="E53" s="943"/>
      <c r="F53" s="943"/>
      <c r="G53" s="943"/>
      <c r="H53" s="943"/>
      <c r="I53" s="523"/>
      <c r="K53" s="943" t="s">
        <v>361</v>
      </c>
      <c r="L53" s="943"/>
      <c r="M53" s="943"/>
      <c r="N53" s="943"/>
      <c r="O53" s="943"/>
      <c r="P53" s="943"/>
      <c r="Q53" s="943"/>
      <c r="R53" s="523"/>
    </row>
    <row r="54" spans="1:18" ht="19.5" customHeight="1" thickTop="1" thickBot="1" x14ac:dyDescent="0.3">
      <c r="B54" s="482" t="s">
        <v>119</v>
      </c>
      <c r="C54" s="482" t="s">
        <v>362</v>
      </c>
      <c r="D54" s="942" t="s">
        <v>363</v>
      </c>
      <c r="E54" s="942"/>
      <c r="F54" s="942"/>
      <c r="G54" s="942"/>
      <c r="H54" s="942"/>
      <c r="I54" s="522"/>
      <c r="K54" s="482" t="s">
        <v>119</v>
      </c>
      <c r="L54" s="482" t="s">
        <v>362</v>
      </c>
      <c r="M54" s="942" t="s">
        <v>363</v>
      </c>
      <c r="N54" s="942"/>
      <c r="O54" s="942"/>
      <c r="P54" s="942"/>
      <c r="Q54" s="942"/>
      <c r="R54" s="522"/>
    </row>
    <row r="55" spans="1:18" ht="19.5" customHeight="1" thickBot="1" x14ac:dyDescent="0.3">
      <c r="B55" s="482"/>
      <c r="C55" s="482"/>
      <c r="D55" s="482" t="s">
        <v>350</v>
      </c>
      <c r="E55" s="482" t="s">
        <v>351</v>
      </c>
      <c r="F55" s="482" t="s">
        <v>352</v>
      </c>
      <c r="G55" s="482" t="s">
        <v>353</v>
      </c>
      <c r="H55" s="482" t="s">
        <v>354</v>
      </c>
      <c r="I55" s="482" t="s">
        <v>355</v>
      </c>
      <c r="K55" s="482"/>
      <c r="L55" s="482"/>
      <c r="M55" s="482" t="s">
        <v>350</v>
      </c>
      <c r="N55" s="482" t="s">
        <v>351</v>
      </c>
      <c r="O55" s="482" t="s">
        <v>352</v>
      </c>
      <c r="P55" s="482" t="s">
        <v>353</v>
      </c>
      <c r="Q55" s="482" t="s">
        <v>354</v>
      </c>
      <c r="R55" s="482" t="s">
        <v>355</v>
      </c>
    </row>
    <row r="56" spans="1:18" ht="19.5" customHeight="1" x14ac:dyDescent="0.25">
      <c r="B56" s="488" t="str">
        <f>'Budget Details'!C56</f>
        <v>GRA # 1</v>
      </c>
      <c r="C56" s="488" t="str">
        <f>'Budget Details'!D56</f>
        <v>Spring</v>
      </c>
      <c r="D56" s="492">
        <f>SUM('Budget Details'!T56,'Budget Details'!T115)</f>
        <v>0</v>
      </c>
      <c r="E56" s="492">
        <f>SUM('Budget Details'!U56,'Budget Details'!U115)</f>
        <v>0</v>
      </c>
      <c r="F56" s="492">
        <f>SUM('Budget Details'!V56,'Budget Details'!V115)</f>
        <v>0</v>
      </c>
      <c r="G56" s="492">
        <f>SUM('Budget Details'!W56,'Budget Details'!W115)</f>
        <v>0</v>
      </c>
      <c r="H56" s="492">
        <f>SUM('Budget Details'!X56,'Budget Details'!X115)</f>
        <v>0</v>
      </c>
      <c r="I56" s="526">
        <f>SUM(D56:H56)</f>
        <v>0</v>
      </c>
      <c r="K56" s="488" t="str">
        <f>'Budget Details'!AP56</f>
        <v>GRA # 0</v>
      </c>
      <c r="L56" s="488" t="str">
        <f>'Budget Details'!AQ56</f>
        <v>Full year</v>
      </c>
      <c r="M56" s="498">
        <f>SUM('Budget Details'!AA56,'Budget Details'!AA115)</f>
        <v>0</v>
      </c>
      <c r="N56" s="498">
        <f>SUM('Budget Details'!AB56,'Budget Details'!AB115)</f>
        <v>0</v>
      </c>
      <c r="O56" s="498">
        <f>SUM('Budget Details'!AC56,'Budget Details'!AC115)</f>
        <v>0</v>
      </c>
      <c r="P56" s="498">
        <f>SUM('Budget Details'!AD56,'Budget Details'!AD115)</f>
        <v>0</v>
      </c>
      <c r="Q56" s="498">
        <f>SUM('Budget Details'!AE56,'Budget Details'!AE115)</f>
        <v>0</v>
      </c>
      <c r="R56" s="533">
        <f>SUM(M56:Q56)</f>
        <v>0</v>
      </c>
    </row>
    <row r="57" spans="1:18" ht="19.5" customHeight="1" thickBot="1" x14ac:dyDescent="0.3">
      <c r="B57" s="489">
        <f>'Budget Details'!C57</f>
        <v>0</v>
      </c>
      <c r="C57" s="489" t="str">
        <f>'Budget Details'!D57</f>
        <v>Summer</v>
      </c>
      <c r="D57" s="493">
        <f>SUM('Budget Details'!T57,'Budget Details'!T116)</f>
        <v>0</v>
      </c>
      <c r="E57" s="493">
        <f>SUM('Budget Details'!U57,'Budget Details'!U116)</f>
        <v>0</v>
      </c>
      <c r="F57" s="493">
        <f>SUM('Budget Details'!V57,'Budget Details'!V116)</f>
        <v>0</v>
      </c>
      <c r="G57" s="493">
        <f>SUM('Budget Details'!W57,'Budget Details'!W116)</f>
        <v>0</v>
      </c>
      <c r="H57" s="493">
        <f>SUM('Budget Details'!X57,'Budget Details'!X116)</f>
        <v>0</v>
      </c>
      <c r="I57" s="527">
        <f t="shared" ref="I57:I61" si="8">SUM(D57:H57)</f>
        <v>0</v>
      </c>
      <c r="K57" s="489">
        <f>'Budget Details'!AP57</f>
        <v>0</v>
      </c>
      <c r="L57" s="489" t="str">
        <f>'Budget Details'!AQ57</f>
        <v>Summer</v>
      </c>
      <c r="M57" s="499">
        <f>SUM('Budget Details'!AA57,'Budget Details'!AA116)</f>
        <v>0</v>
      </c>
      <c r="N57" s="499">
        <f>SUM('Budget Details'!AB57,'Budget Details'!AB116)</f>
        <v>0</v>
      </c>
      <c r="O57" s="499">
        <f>SUM('Budget Details'!AC57,'Budget Details'!AC116)</f>
        <v>0</v>
      </c>
      <c r="P57" s="499">
        <f>SUM('Budget Details'!AD57,'Budget Details'!AD116)</f>
        <v>0</v>
      </c>
      <c r="Q57" s="499">
        <f>SUM('Budget Details'!AE57,'Budget Details'!AE116)</f>
        <v>0</v>
      </c>
      <c r="R57" s="534">
        <f t="shared" ref="R57:R66" si="9">SUM(M57:Q57)</f>
        <v>0</v>
      </c>
    </row>
    <row r="58" spans="1:18" ht="19.5" customHeight="1" x14ac:dyDescent="0.25">
      <c r="B58" s="490" t="str">
        <f>'Budget Details'!C58</f>
        <v>GRA #2</v>
      </c>
      <c r="C58" s="490" t="str">
        <f>'Budget Details'!D58</f>
        <v>Spring</v>
      </c>
      <c r="D58" s="494">
        <f>SUM('Budget Details'!T58,'Budget Details'!T119)</f>
        <v>0</v>
      </c>
      <c r="E58" s="494">
        <f>SUM('Budget Details'!U58,'Budget Details'!U119)</f>
        <v>0</v>
      </c>
      <c r="F58" s="494">
        <f>SUM('Budget Details'!V58,'Budget Details'!V119)</f>
        <v>0</v>
      </c>
      <c r="G58" s="494">
        <f>SUM('Budget Details'!W58,'Budget Details'!W119)</f>
        <v>0</v>
      </c>
      <c r="H58" s="494">
        <f>SUM('Budget Details'!X58,'Budget Details'!X119)</f>
        <v>0</v>
      </c>
      <c r="I58" s="528">
        <f t="shared" si="8"/>
        <v>0</v>
      </c>
      <c r="K58" s="490" t="str">
        <f>'Budget Details'!AP58</f>
        <v>GRA #1</v>
      </c>
      <c r="L58" s="490" t="str">
        <f>'Budget Details'!AQ58</f>
        <v>Full year</v>
      </c>
      <c r="M58" s="500">
        <f>SUM('Budget Details'!AA58,'Budget Details'!AA119)</f>
        <v>0</v>
      </c>
      <c r="N58" s="500">
        <f>SUM('Budget Details'!AB58,'Budget Details'!AB119)</f>
        <v>0</v>
      </c>
      <c r="O58" s="500">
        <f>SUM('Budget Details'!AC58,'Budget Details'!AC119)</f>
        <v>0</v>
      </c>
      <c r="P58" s="500">
        <f>SUM('Budget Details'!AD58,'Budget Details'!AD119)</f>
        <v>0</v>
      </c>
      <c r="Q58" s="500">
        <f>SUM('Budget Details'!AE58,'Budget Details'!AE119)</f>
        <v>0</v>
      </c>
      <c r="R58" s="535">
        <f t="shared" si="9"/>
        <v>0</v>
      </c>
    </row>
    <row r="59" spans="1:18" ht="19.5" customHeight="1" thickBot="1" x14ac:dyDescent="0.3">
      <c r="B59" s="489">
        <f>'Budget Details'!C59</f>
        <v>0</v>
      </c>
      <c r="C59" s="489" t="str">
        <f>'Budget Details'!D59</f>
        <v>Summer</v>
      </c>
      <c r="D59" s="493">
        <f>SUM('Budget Details'!T59,'Budget Details'!T120)</f>
        <v>0</v>
      </c>
      <c r="E59" s="493">
        <f>SUM('Budget Details'!U59,'Budget Details'!U120)</f>
        <v>0</v>
      </c>
      <c r="F59" s="493">
        <f>SUM('Budget Details'!V59,'Budget Details'!V120)</f>
        <v>0</v>
      </c>
      <c r="G59" s="493">
        <f>SUM('Budget Details'!W59,'Budget Details'!W120)</f>
        <v>0</v>
      </c>
      <c r="H59" s="493">
        <f>SUM('Budget Details'!X59,'Budget Details'!X120)</f>
        <v>0</v>
      </c>
      <c r="I59" s="527">
        <f t="shared" si="8"/>
        <v>0</v>
      </c>
      <c r="K59" s="491">
        <f>'Budget Details'!AP59</f>
        <v>0</v>
      </c>
      <c r="L59" s="491" t="str">
        <f>'Budget Details'!AQ59</f>
        <v>Summer</v>
      </c>
      <c r="M59" s="501">
        <f>SUM('Budget Details'!AA59,'Budget Details'!AA120)</f>
        <v>0</v>
      </c>
      <c r="N59" s="501">
        <f>SUM('Budget Details'!AB59,'Budget Details'!AB120)</f>
        <v>0</v>
      </c>
      <c r="O59" s="501">
        <f>SUM('Budget Details'!AC59,'Budget Details'!AC120)</f>
        <v>0</v>
      </c>
      <c r="P59" s="501">
        <f>SUM('Budget Details'!AD59,'Budget Details'!AD120)</f>
        <v>0</v>
      </c>
      <c r="Q59" s="501">
        <f>SUM('Budget Details'!AE59,'Budget Details'!AE120)</f>
        <v>0</v>
      </c>
      <c r="R59" s="537">
        <f t="shared" si="9"/>
        <v>0</v>
      </c>
    </row>
    <row r="60" spans="1:18" ht="19.5" customHeight="1" x14ac:dyDescent="0.25">
      <c r="B60" s="490" t="str">
        <f>'Budget Details'!C60</f>
        <v>GRA #3</v>
      </c>
      <c r="C60" s="490" t="str">
        <f>'Budget Details'!D60</f>
        <v>Spring</v>
      </c>
      <c r="D60" s="494">
        <f>SUM('Budget Details'!T60,'Budget Details'!T123)</f>
        <v>0</v>
      </c>
      <c r="E60" s="494">
        <f>SUM('Budget Details'!U60,'Budget Details'!U123)</f>
        <v>0</v>
      </c>
      <c r="F60" s="494">
        <f>SUM('Budget Details'!V60,'Budget Details'!V123)</f>
        <v>0</v>
      </c>
      <c r="G60" s="494">
        <f>SUM('Budget Details'!W60,'Budget Details'!W123)</f>
        <v>0</v>
      </c>
      <c r="H60" s="494">
        <f>SUM('Budget Details'!X60,'Budget Details'!X123)</f>
        <v>0</v>
      </c>
      <c r="I60" s="528">
        <f t="shared" si="8"/>
        <v>0</v>
      </c>
      <c r="K60" s="490" t="str">
        <f>'Budget Details'!AP60</f>
        <v>GRA #3</v>
      </c>
      <c r="L60" s="490" t="str">
        <f>'Budget Details'!AQ60</f>
        <v>Full year</v>
      </c>
      <c r="M60" s="500">
        <f>SUM('Budget Details'!AA60,'Budget Details'!AA123)</f>
        <v>0</v>
      </c>
      <c r="N60" s="500">
        <f>SUM('Budget Details'!AB60,'Budget Details'!AB123)</f>
        <v>0</v>
      </c>
      <c r="O60" s="500">
        <f>SUM('Budget Details'!AC60,'Budget Details'!AC123)</f>
        <v>0</v>
      </c>
      <c r="P60" s="500">
        <f>SUM('Budget Details'!AD60,'Budget Details'!AD123)</f>
        <v>0</v>
      </c>
      <c r="Q60" s="500">
        <f>SUM('Budget Details'!AE60,'Budget Details'!AE123)</f>
        <v>0</v>
      </c>
      <c r="R60" s="536">
        <f t="shared" si="9"/>
        <v>0</v>
      </c>
    </row>
    <row r="61" spans="1:18" ht="19.5" customHeight="1" thickBot="1" x14ac:dyDescent="0.3">
      <c r="B61" s="489">
        <f>'Budget Details'!C61</f>
        <v>0</v>
      </c>
      <c r="C61" s="489" t="str">
        <f>'Budget Details'!D61</f>
        <v>Summer</v>
      </c>
      <c r="D61" s="493">
        <f>SUM('Budget Details'!T61,'Budget Details'!T124)</f>
        <v>0</v>
      </c>
      <c r="E61" s="493">
        <f>SUM('Budget Details'!U61,'Budget Details'!U124)</f>
        <v>0</v>
      </c>
      <c r="F61" s="493">
        <f>SUM('Budget Details'!V61,'Budget Details'!V124)</f>
        <v>0</v>
      </c>
      <c r="G61" s="493">
        <f>SUM('Budget Details'!W61,'Budget Details'!W124)</f>
        <v>0</v>
      </c>
      <c r="H61" s="493">
        <f>SUM('Budget Details'!X61,'Budget Details'!X124)</f>
        <v>0</v>
      </c>
      <c r="I61" s="527">
        <f t="shared" si="8"/>
        <v>0</v>
      </c>
      <c r="K61" s="491">
        <f>'Budget Details'!AP61</f>
        <v>0</v>
      </c>
      <c r="L61" s="491" t="str">
        <f>'Budget Details'!AQ61</f>
        <v>Summer</v>
      </c>
      <c r="M61" s="501">
        <f>SUM('Budget Details'!AA61,'Budget Details'!AA124)</f>
        <v>0</v>
      </c>
      <c r="N61" s="501">
        <f>SUM('Budget Details'!AB61,'Budget Details'!AB124)</f>
        <v>0</v>
      </c>
      <c r="O61" s="501">
        <f>SUM('Budget Details'!AC61,'Budget Details'!AC124)</f>
        <v>0</v>
      </c>
      <c r="P61" s="501">
        <f>SUM('Budget Details'!AD61,'Budget Details'!AD124)</f>
        <v>0</v>
      </c>
      <c r="Q61" s="501">
        <f>SUM('Budget Details'!AE61,'Budget Details'!AE124)</f>
        <v>0</v>
      </c>
      <c r="R61" s="534">
        <f t="shared" si="9"/>
        <v>0</v>
      </c>
    </row>
    <row r="62" spans="1:18" ht="19.5" customHeight="1" x14ac:dyDescent="0.25">
      <c r="B62" s="490" t="str">
        <f>'Budget Details'!C62</f>
        <v>GRA #4</v>
      </c>
      <c r="C62" s="490" t="str">
        <f>'Budget Details'!D62</f>
        <v>Spring</v>
      </c>
      <c r="D62" s="494">
        <f>SUM('Budget Details'!T62,'Budget Details'!T127)</f>
        <v>0</v>
      </c>
      <c r="E62" s="494">
        <f>SUM('Budget Details'!U62,'Budget Details'!U127)</f>
        <v>0</v>
      </c>
      <c r="F62" s="494">
        <f>SUM('Budget Details'!V62,'Budget Details'!V127)</f>
        <v>0</v>
      </c>
      <c r="G62" s="495">
        <f>SUM('Budget Details'!W62,'Budget Details'!W127)</f>
        <v>0</v>
      </c>
      <c r="H62" s="494">
        <f>SUM('Budget Details'!X62,'Budget Details'!X127)</f>
        <v>0</v>
      </c>
      <c r="I62" s="528">
        <f>SUM(D62:H62)</f>
        <v>0</v>
      </c>
      <c r="K62" s="490" t="str">
        <f>'Budget Details'!AP62</f>
        <v>GRA #4</v>
      </c>
      <c r="L62" s="490" t="str">
        <f>'Budget Details'!AQ62</f>
        <v>Full year</v>
      </c>
      <c r="M62" s="500">
        <f>SUM('Budget Details'!AA62,'Budget Details'!AA127)</f>
        <v>0</v>
      </c>
      <c r="N62" s="500">
        <f>SUM('Budget Details'!AB62,'Budget Details'!AB127)</f>
        <v>0</v>
      </c>
      <c r="O62" s="500">
        <f>SUM('Budget Details'!AC62,'Budget Details'!AC127)</f>
        <v>0</v>
      </c>
      <c r="P62" s="500">
        <f>SUM('Budget Details'!AD62,'Budget Details'!AD127)</f>
        <v>0</v>
      </c>
      <c r="Q62" s="500">
        <f>SUM('Budget Details'!AE62,'Budget Details'!AE127)</f>
        <v>0</v>
      </c>
      <c r="R62" s="535">
        <f t="shared" si="9"/>
        <v>0</v>
      </c>
    </row>
    <row r="63" spans="1:18" ht="19.5" customHeight="1" thickBot="1" x14ac:dyDescent="0.3">
      <c r="B63" s="489">
        <f>'Budget Details'!C63</f>
        <v>0</v>
      </c>
      <c r="C63" s="489" t="str">
        <f>'Budget Details'!D63</f>
        <v>Summer</v>
      </c>
      <c r="D63" s="493">
        <f>SUM('Budget Details'!T63,'Budget Details'!T128)</f>
        <v>0</v>
      </c>
      <c r="E63" s="493">
        <f>SUM('Budget Details'!U63,'Budget Details'!U128)</f>
        <v>0</v>
      </c>
      <c r="F63" s="493">
        <f>SUM('Budget Details'!V63,'Budget Details'!V128)</f>
        <v>0</v>
      </c>
      <c r="G63" s="493">
        <f>SUM('Budget Details'!W63,'Budget Details'!W128)</f>
        <v>0</v>
      </c>
      <c r="H63" s="493">
        <f>SUM('Budget Details'!X63,'Budget Details'!X128)</f>
        <v>0</v>
      </c>
      <c r="I63" s="529">
        <f>SUM(D63:H63)</f>
        <v>0</v>
      </c>
      <c r="K63" s="491">
        <f>'Budget Details'!AP63</f>
        <v>0</v>
      </c>
      <c r="L63" s="491" t="str">
        <f>'Budget Details'!AQ63</f>
        <v>Summer</v>
      </c>
      <c r="M63" s="501">
        <f>SUM('Budget Details'!AA63,'Budget Details'!AA128)</f>
        <v>0</v>
      </c>
      <c r="N63" s="501">
        <f>SUM('Budget Details'!AB63,'Budget Details'!AB128)</f>
        <v>0</v>
      </c>
      <c r="O63" s="501">
        <f>SUM('Budget Details'!AC63,'Budget Details'!AC128)</f>
        <v>0</v>
      </c>
      <c r="P63" s="501">
        <f>SUM('Budget Details'!AD63,'Budget Details'!AD128)</f>
        <v>0</v>
      </c>
      <c r="Q63" s="501">
        <f>SUM('Budget Details'!AE63,'Budget Details'!AE128)</f>
        <v>0</v>
      </c>
      <c r="R63" s="534">
        <f t="shared" si="9"/>
        <v>0</v>
      </c>
    </row>
    <row r="64" spans="1:18" ht="19.5" customHeight="1" x14ac:dyDescent="0.25">
      <c r="B64" s="490" t="str">
        <f>'Budget Details'!C64</f>
        <v>GRA #5</v>
      </c>
      <c r="C64" s="490" t="str">
        <f>'Budget Details'!D64</f>
        <v>Spring</v>
      </c>
      <c r="D64" s="494">
        <f>SUM('Budget Details'!T64,'Budget Details'!T131)</f>
        <v>0</v>
      </c>
      <c r="E64" s="494">
        <f>SUM('Budget Details'!U64,'Budget Details'!U131)</f>
        <v>0</v>
      </c>
      <c r="F64" s="494">
        <f>SUM('Budget Details'!V64,'Budget Details'!V131)</f>
        <v>0</v>
      </c>
      <c r="G64" s="494">
        <f>SUM('Budget Details'!W64,'Budget Details'!W131)</f>
        <v>0</v>
      </c>
      <c r="H64" s="494">
        <f>SUM('Budget Details'!X64,'Budget Details'!X131)</f>
        <v>0</v>
      </c>
      <c r="I64" s="530">
        <f>SUM(D64:H64)</f>
        <v>0</v>
      </c>
      <c r="K64" s="490" t="str">
        <f>'Budget Details'!AP64</f>
        <v>GRA #5</v>
      </c>
      <c r="L64" s="490" t="str">
        <f>'Budget Details'!AQ64</f>
        <v>Full year</v>
      </c>
      <c r="M64" s="500">
        <f>SUM('Budget Details'!AA64,'Budget Details'!AA131)</f>
        <v>0</v>
      </c>
      <c r="N64" s="500">
        <f>SUM('Budget Details'!AB64,'Budget Details'!AB131)</f>
        <v>0</v>
      </c>
      <c r="O64" s="500">
        <f>SUM('Budget Details'!AC64,'Budget Details'!AC131)</f>
        <v>0</v>
      </c>
      <c r="P64" s="500">
        <f>SUM('Budget Details'!AD64,'Budget Details'!AD131)</f>
        <v>0</v>
      </c>
      <c r="Q64" s="500">
        <f>SUM('Budget Details'!AE64,'Budget Details'!AE131)</f>
        <v>0</v>
      </c>
      <c r="R64" s="535">
        <f t="shared" si="9"/>
        <v>0</v>
      </c>
    </row>
    <row r="65" spans="2:18" ht="19.5" customHeight="1" x14ac:dyDescent="0.25">
      <c r="B65" s="488">
        <f>'Budget Details'!C65</f>
        <v>0</v>
      </c>
      <c r="C65" s="488" t="str">
        <f>'Budget Details'!D65</f>
        <v>Summer</v>
      </c>
      <c r="D65" s="492">
        <f>SUM('Budget Details'!T65,'Budget Details'!T132)</f>
        <v>0</v>
      </c>
      <c r="E65" s="492">
        <f>SUM('Budget Details'!U65,'Budget Details'!U132)</f>
        <v>0</v>
      </c>
      <c r="F65" s="492">
        <f>SUM('Budget Details'!V65,'Budget Details'!V132)</f>
        <v>0</v>
      </c>
      <c r="G65" s="492">
        <f>SUM('Budget Details'!W65,'Budget Details'!W132)</f>
        <v>0</v>
      </c>
      <c r="H65" s="492">
        <f>SUM('Budget Details'!X65,'Budget Details'!X132)</f>
        <v>0</v>
      </c>
      <c r="I65" s="526">
        <f>SUM(D65:H65)</f>
        <v>0</v>
      </c>
      <c r="K65" s="518">
        <f>'Budget Details'!AP65</f>
        <v>0</v>
      </c>
      <c r="L65" s="518" t="str">
        <f>'Budget Details'!AQ65</f>
        <v>Summer</v>
      </c>
      <c r="M65" s="519">
        <f>SUM('Budget Details'!AA65,'Budget Details'!AA132)</f>
        <v>0</v>
      </c>
      <c r="N65" s="519">
        <f>SUM('Budget Details'!AB65,'Budget Details'!AB132)</f>
        <v>0</v>
      </c>
      <c r="O65" s="519">
        <f>SUM('Budget Details'!AC65,'Budget Details'!AC132)</f>
        <v>0</v>
      </c>
      <c r="P65" s="519">
        <f>SUM('Budget Details'!AD65,'Budget Details'!AD132)</f>
        <v>0</v>
      </c>
      <c r="Q65" s="519">
        <f>SUM('Budget Details'!AE65,'Budget Details'!AE132)</f>
        <v>0</v>
      </c>
      <c r="R65" s="533">
        <f t="shared" si="9"/>
        <v>0</v>
      </c>
    </row>
    <row r="66" spans="2:18" ht="19.5" customHeight="1" x14ac:dyDescent="0.25">
      <c r="B66" s="940" t="s">
        <v>355</v>
      </c>
      <c r="C66" s="940"/>
      <c r="D66" s="521">
        <f>SUM(D56:D57,D58:D59,D60:D61,D62:D63,D64:D65)</f>
        <v>0</v>
      </c>
      <c r="E66" s="521">
        <f t="shared" ref="E66:H66" si="10">SUM(E56:E57,E58:E59,E60:E61,E62:E63,E64:E65)</f>
        <v>0</v>
      </c>
      <c r="F66" s="521">
        <f t="shared" si="10"/>
        <v>0</v>
      </c>
      <c r="G66" s="521">
        <f t="shared" si="10"/>
        <v>0</v>
      </c>
      <c r="H66" s="521">
        <f t="shared" si="10"/>
        <v>0</v>
      </c>
      <c r="I66" s="526">
        <f>SUM(D66:H66)</f>
        <v>0</v>
      </c>
      <c r="K66" s="939" t="s">
        <v>355</v>
      </c>
      <c r="L66" s="939"/>
      <c r="M66" s="516">
        <f>SUM(M56:M57,M58:M59,M60:M61,M62:M63,M64:M65)</f>
        <v>0</v>
      </c>
      <c r="N66" s="516">
        <f t="shared" ref="N66:Q66" si="11">SUM(N56:N57,N58:N59,N60:N61,N62:N63,N64:N65)</f>
        <v>0</v>
      </c>
      <c r="O66" s="516">
        <f t="shared" si="11"/>
        <v>0</v>
      </c>
      <c r="P66" s="516">
        <f t="shared" si="11"/>
        <v>0</v>
      </c>
      <c r="Q66" s="516">
        <f t="shared" si="11"/>
        <v>0</v>
      </c>
      <c r="R66" s="533">
        <f t="shared" si="9"/>
        <v>0</v>
      </c>
    </row>
  </sheetData>
  <mergeCells count="65">
    <mergeCell ref="D54:H54"/>
    <mergeCell ref="B53:H53"/>
    <mergeCell ref="K53:Q53"/>
    <mergeCell ref="M54:Q54"/>
    <mergeCell ref="K47:L47"/>
    <mergeCell ref="K48:L48"/>
    <mergeCell ref="K49:L49"/>
    <mergeCell ref="K50:L50"/>
    <mergeCell ref="B50:C50"/>
    <mergeCell ref="B49:C49"/>
    <mergeCell ref="B48:C48"/>
    <mergeCell ref="B47:C47"/>
    <mergeCell ref="B51:C51"/>
    <mergeCell ref="A1:E1"/>
    <mergeCell ref="K28:Q28"/>
    <mergeCell ref="A28:H28"/>
    <mergeCell ref="K41:L41"/>
    <mergeCell ref="K42:L42"/>
    <mergeCell ref="K29:L30"/>
    <mergeCell ref="M29:Q29"/>
    <mergeCell ref="K31:L31"/>
    <mergeCell ref="K32:L32"/>
    <mergeCell ref="K33:L33"/>
    <mergeCell ref="K34:L34"/>
    <mergeCell ref="K3:Q3"/>
    <mergeCell ref="K4:K5"/>
    <mergeCell ref="L4:L5"/>
    <mergeCell ref="M4:Q4"/>
    <mergeCell ref="B35:C35"/>
    <mergeCell ref="K45:L45"/>
    <mergeCell ref="K46:L46"/>
    <mergeCell ref="K35:L35"/>
    <mergeCell ref="K36:L36"/>
    <mergeCell ref="K37:L37"/>
    <mergeCell ref="K38:L38"/>
    <mergeCell ref="K39:L39"/>
    <mergeCell ref="K40:L40"/>
    <mergeCell ref="D4:H4"/>
    <mergeCell ref="A3:H3"/>
    <mergeCell ref="D29:H29"/>
    <mergeCell ref="B36:C36"/>
    <mergeCell ref="B31:C31"/>
    <mergeCell ref="B33:C33"/>
    <mergeCell ref="B32:C32"/>
    <mergeCell ref="B4:B5"/>
    <mergeCell ref="C4:C5"/>
    <mergeCell ref="B29:C30"/>
    <mergeCell ref="B34:C34"/>
    <mergeCell ref="B26:C26"/>
    <mergeCell ref="K26:L26"/>
    <mergeCell ref="K51:L51"/>
    <mergeCell ref="K66:L66"/>
    <mergeCell ref="B66:C66"/>
    <mergeCell ref="B46:C46"/>
    <mergeCell ref="B45:C45"/>
    <mergeCell ref="B44:C44"/>
    <mergeCell ref="B43:C43"/>
    <mergeCell ref="B42:C42"/>
    <mergeCell ref="B41:C41"/>
    <mergeCell ref="B40:C40"/>
    <mergeCell ref="B39:C39"/>
    <mergeCell ref="B38:C38"/>
    <mergeCell ref="B37:C37"/>
    <mergeCell ref="K43:L43"/>
    <mergeCell ref="K44:L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3F10A-FF11-481A-9C20-6565FF50CA9F}">
  <sheetPr>
    <tabColor theme="7" tint="0.39997558519241921"/>
  </sheetPr>
  <dimension ref="B1:P26"/>
  <sheetViews>
    <sheetView workbookViewId="0">
      <selection activeCell="J6" sqref="J6"/>
    </sheetView>
  </sheetViews>
  <sheetFormatPr defaultRowHeight="12.75" x14ac:dyDescent="0.2"/>
  <cols>
    <col min="2" max="2" width="41.140625" customWidth="1"/>
    <col min="3" max="3" width="17.28515625" customWidth="1"/>
  </cols>
  <sheetData>
    <row r="1" spans="2:16" ht="15.75" x14ac:dyDescent="0.25">
      <c r="B1" s="950" t="s">
        <v>364</v>
      </c>
      <c r="C1" s="950"/>
      <c r="D1" s="415"/>
    </row>
    <row r="2" spans="2:16" ht="16.5" x14ac:dyDescent="0.3">
      <c r="B2" s="416" t="s">
        <v>365</v>
      </c>
      <c r="C2" s="416" t="s">
        <v>366</v>
      </c>
      <c r="D2" s="415"/>
    </row>
    <row r="3" spans="2:16" ht="15.75" x14ac:dyDescent="0.25">
      <c r="B3" s="417" t="s">
        <v>271</v>
      </c>
      <c r="C3" s="418">
        <v>0.52500000000000002</v>
      </c>
      <c r="D3" s="415"/>
      <c r="M3" s="15"/>
      <c r="N3" s="15"/>
      <c r="O3" s="15"/>
      <c r="P3" s="15"/>
    </row>
    <row r="4" spans="2:16" ht="13.5" customHeight="1" x14ac:dyDescent="0.25">
      <c r="B4" s="417" t="s">
        <v>367</v>
      </c>
      <c r="C4" s="418">
        <v>0.51200000000000001</v>
      </c>
      <c r="D4" s="415"/>
      <c r="M4" s="16"/>
      <c r="N4" s="16"/>
      <c r="O4" s="16"/>
      <c r="P4" s="16"/>
    </row>
    <row r="5" spans="2:16" ht="15.75" x14ac:dyDescent="0.25">
      <c r="B5" s="417" t="s">
        <v>368</v>
      </c>
      <c r="C5" s="418">
        <v>0.29399999999999998</v>
      </c>
      <c r="D5" s="415"/>
      <c r="K5" s="17"/>
      <c r="L5" s="17"/>
      <c r="M5" s="17"/>
      <c r="N5" s="17"/>
      <c r="O5" s="17"/>
      <c r="P5" s="17"/>
    </row>
    <row r="6" spans="2:16" ht="13.5" customHeight="1" x14ac:dyDescent="0.25">
      <c r="B6" s="417" t="s">
        <v>369</v>
      </c>
      <c r="C6" s="418">
        <v>0.26</v>
      </c>
      <c r="D6" s="415"/>
      <c r="K6" s="3"/>
      <c r="L6" s="3"/>
      <c r="M6" s="3"/>
      <c r="N6" s="3"/>
      <c r="O6" s="3"/>
      <c r="P6" s="3"/>
    </row>
    <row r="7" spans="2:16" ht="15.75" x14ac:dyDescent="0.25">
      <c r="B7" s="417" t="s">
        <v>370</v>
      </c>
      <c r="C7" s="418">
        <v>0.26</v>
      </c>
      <c r="D7" s="415"/>
    </row>
    <row r="8" spans="2:16" ht="15.75" x14ac:dyDescent="0.25">
      <c r="B8" s="417" t="s">
        <v>371</v>
      </c>
      <c r="C8" s="418">
        <v>0.23699999999999999</v>
      </c>
      <c r="D8" s="415"/>
    </row>
    <row r="9" spans="2:16" ht="15.75" x14ac:dyDescent="0.25">
      <c r="B9" s="417" t="s">
        <v>372</v>
      </c>
      <c r="C9" s="418">
        <v>0.17499999999999999</v>
      </c>
      <c r="D9" s="415"/>
    </row>
    <row r="10" spans="2:16" ht="15.75" x14ac:dyDescent="0.25">
      <c r="B10" s="417" t="s">
        <v>373</v>
      </c>
      <c r="C10" s="419">
        <v>0</v>
      </c>
      <c r="D10" s="415"/>
    </row>
    <row r="11" spans="2:16" ht="15.75" x14ac:dyDescent="0.25">
      <c r="B11" s="417" t="s">
        <v>273</v>
      </c>
      <c r="C11" s="419">
        <v>0</v>
      </c>
      <c r="D11" s="415"/>
    </row>
    <row r="12" spans="2:16" ht="15.75" x14ac:dyDescent="0.25">
      <c r="B12" s="417" t="s">
        <v>374</v>
      </c>
      <c r="C12" s="419">
        <v>0</v>
      </c>
      <c r="D12" s="415"/>
    </row>
    <row r="13" spans="2:16" ht="15.75" x14ac:dyDescent="0.25">
      <c r="B13" s="415"/>
      <c r="C13" s="415"/>
      <c r="D13" s="415"/>
    </row>
    <row r="14" spans="2:16" ht="16.5" thickBot="1" x14ac:dyDescent="0.3">
      <c r="B14" s="415" t="s">
        <v>375</v>
      </c>
      <c r="C14" s="415"/>
      <c r="D14" s="415"/>
    </row>
    <row r="15" spans="2:16" ht="16.5" x14ac:dyDescent="0.3">
      <c r="B15" s="420" t="s">
        <v>376</v>
      </c>
      <c r="C15" s="421">
        <v>12936</v>
      </c>
      <c r="D15" s="415" t="s">
        <v>377</v>
      </c>
    </row>
    <row r="16" spans="2:16" ht="17.25" thickBot="1" x14ac:dyDescent="0.35">
      <c r="B16" s="422" t="s">
        <v>378</v>
      </c>
      <c r="C16" s="423">
        <f>C15/2</f>
        <v>6468</v>
      </c>
      <c r="D16" s="424"/>
    </row>
    <row r="17" spans="2:4" ht="15.75" x14ac:dyDescent="0.25">
      <c r="B17" s="415"/>
      <c r="C17" s="415"/>
      <c r="D17" s="415"/>
    </row>
    <row r="18" spans="2:4" ht="15.75" x14ac:dyDescent="0.25">
      <c r="B18" s="415"/>
      <c r="C18" s="415"/>
      <c r="D18" s="415"/>
    </row>
    <row r="19" spans="2:4" ht="16.5" thickBot="1" x14ac:dyDescent="0.3">
      <c r="B19" s="415" t="s">
        <v>379</v>
      </c>
      <c r="C19" s="415"/>
      <c r="D19" s="415"/>
    </row>
    <row r="20" spans="2:4" ht="16.5" thickBot="1" x14ac:dyDescent="0.3">
      <c r="B20" s="425" t="s">
        <v>380</v>
      </c>
      <c r="C20" s="425" t="s">
        <v>211</v>
      </c>
      <c r="D20" s="415"/>
    </row>
    <row r="21" spans="2:4" ht="17.25" thickBot="1" x14ac:dyDescent="0.35">
      <c r="B21" s="426" t="s">
        <v>179</v>
      </c>
      <c r="C21" s="427">
        <f>2765*1.05</f>
        <v>2903.25</v>
      </c>
      <c r="D21" s="415" t="s">
        <v>381</v>
      </c>
    </row>
    <row r="22" spans="2:4" ht="17.25" thickBot="1" x14ac:dyDescent="0.35">
      <c r="B22" s="426" t="s">
        <v>382</v>
      </c>
      <c r="C22" s="427">
        <f>1045*1.05</f>
        <v>1097.25</v>
      </c>
      <c r="D22" s="415" t="s">
        <v>383</v>
      </c>
    </row>
    <row r="23" spans="2:4" ht="17.25" thickBot="1" x14ac:dyDescent="0.35">
      <c r="B23" s="426" t="s">
        <v>177</v>
      </c>
      <c r="C23" s="427">
        <f>1720*1.05</f>
        <v>1806</v>
      </c>
      <c r="D23" s="415" t="s">
        <v>384</v>
      </c>
    </row>
    <row r="24" spans="2:4" ht="17.25" thickBot="1" x14ac:dyDescent="0.35">
      <c r="B24" s="426" t="s">
        <v>242</v>
      </c>
      <c r="C24" s="427"/>
      <c r="D24" s="415"/>
    </row>
    <row r="25" spans="2:4" ht="17.25" thickBot="1" x14ac:dyDescent="0.35">
      <c r="B25" s="426" t="s">
        <v>385</v>
      </c>
      <c r="C25" s="427">
        <v>705</v>
      </c>
      <c r="D25" s="415" t="s">
        <v>386</v>
      </c>
    </row>
    <row r="26" spans="2:4" ht="15.75" x14ac:dyDescent="0.25">
      <c r="B26" s="415"/>
      <c r="C26" s="415"/>
      <c r="D26" s="415"/>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A01F4FA7C9454A8938C55A82822659" ma:contentTypeVersion="13" ma:contentTypeDescription="Create a new document." ma:contentTypeScope="" ma:versionID="888c72fe128949734db40908d98a136f">
  <xsd:schema xmlns:xsd="http://www.w3.org/2001/XMLSchema" xmlns:xs="http://www.w3.org/2001/XMLSchema" xmlns:p="http://schemas.microsoft.com/office/2006/metadata/properties" xmlns:ns2="4d2a1a61-3b4c-4339-8ec3-dd85a7bf061c" xmlns:ns3="c2df3362-317e-45da-923b-8d918f0bb8f1" targetNamespace="http://schemas.microsoft.com/office/2006/metadata/properties" ma:root="true" ma:fieldsID="1e28593fde5eb4eab801640636d179ad" ns2:_="" ns3:_="">
    <xsd:import namespace="4d2a1a61-3b4c-4339-8ec3-dd85a7bf061c"/>
    <xsd:import namespace="c2df3362-317e-45da-923b-8d918f0bb8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a1a61-3b4c-4339-8ec3-dd85a7bf06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ab86591-d70f-4a96-900c-bfbe5e6a318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df3362-317e-45da-923b-8d918f0bb8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2a1a61-3b4c-4339-8ec3-dd85a7bf06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1829F-EB30-42BA-AE48-F4D87D4FD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a1a61-3b4c-4339-8ec3-dd85a7bf061c"/>
    <ds:schemaRef ds:uri="c2df3362-317e-45da-923b-8d918f0bb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FAD69D-0838-4D78-AD57-82BE01A9C945}">
  <ds:schemaRefs>
    <ds:schemaRef ds:uri="http://schemas.microsoft.com/office/2006/metadata/properties"/>
    <ds:schemaRef ds:uri="http://schemas.microsoft.com/office/infopath/2007/PartnerControls"/>
    <ds:schemaRef ds:uri="4d2a1a61-3b4c-4339-8ec3-dd85a7bf061c"/>
  </ds:schemaRefs>
</ds:datastoreItem>
</file>

<file path=customXml/itemProps3.xml><?xml version="1.0" encoding="utf-8"?>
<ds:datastoreItem xmlns:ds="http://schemas.openxmlformats.org/officeDocument/2006/customXml" ds:itemID="{24790C8D-34AC-4CF0-A6B5-7A8C64919F00}">
  <ds:schemaRefs>
    <ds:schemaRef ds:uri="http://schemas.microsoft.com/sharepoint/v3/contenttype/forms"/>
  </ds:schemaRefs>
</ds:datastoreItem>
</file>

<file path=docMetadata/LabelInfo.xml><?xml version="1.0" encoding="utf-8"?>
<clbl:labelList xmlns:clbl="http://schemas.microsoft.com/office/2020/mipLabelMetadata">
  <clbl:label id="{e87c980e-01ca-41eb-af50-bc5599558542}" enabled="1" method="Privileged" siteId="{27d49e9f-89e1-4aa0-99a3-d35b57b2ba0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356</vt:i4>
      </vt:variant>
    </vt:vector>
  </HeadingPairs>
  <TitlesOfParts>
    <vt:vector size="362" baseType="lpstr">
      <vt:lpstr>Start Here</vt:lpstr>
      <vt:lpstr>Budget Details</vt:lpstr>
      <vt:lpstr>Cumulative</vt:lpstr>
      <vt:lpstr> Travel Calculator</vt:lpstr>
      <vt:lpstr>Summary_of_Personnel Costs </vt:lpstr>
      <vt:lpstr>Rates</vt:lpstr>
      <vt:lpstr>CompSvcsTot</vt:lpstr>
      <vt:lpstr>ConsultantTot</vt:lpstr>
      <vt:lpstr>cs.Equip1</vt:lpstr>
      <vt:lpstr>cs.Equip2</vt:lpstr>
      <vt:lpstr>cs.Equip3</vt:lpstr>
      <vt:lpstr>cs.Equip4</vt:lpstr>
      <vt:lpstr>cs.Equip5</vt:lpstr>
      <vt:lpstr>cs.EquipTot</vt:lpstr>
      <vt:lpstr>cs.ForgoneIdcCalculation1</vt:lpstr>
      <vt:lpstr>cs.ForgoneIdcCalculation2</vt:lpstr>
      <vt:lpstr>cs.ForgoneIdcCalculation3</vt:lpstr>
      <vt:lpstr>cs.ForgoneIdcCalculation4</vt:lpstr>
      <vt:lpstr>cs.ForgoneIdcCalculation5</vt:lpstr>
      <vt:lpstr>cs.ForgoneIdcCalculationTot</vt:lpstr>
      <vt:lpstr>cs.GRA.Tuition1</vt:lpstr>
      <vt:lpstr>cs.GRA.Tuition2</vt:lpstr>
      <vt:lpstr>cs.GRA.Tuition3</vt:lpstr>
      <vt:lpstr>cs.GRA.Tuition4</vt:lpstr>
      <vt:lpstr>cs.GRA.Tuition5</vt:lpstr>
      <vt:lpstr>cs.GRA.TutionTot</vt:lpstr>
      <vt:lpstr>cs.GRABenefits1</vt:lpstr>
      <vt:lpstr>cs.GRABenefits2</vt:lpstr>
      <vt:lpstr>cs.GRABenefits3</vt:lpstr>
      <vt:lpstr>cs.GRABenefits4</vt:lpstr>
      <vt:lpstr>cs.GRABenefits5</vt:lpstr>
      <vt:lpstr>cs.GRABenefitsToT</vt:lpstr>
      <vt:lpstr>cs.GRASalary1</vt:lpstr>
      <vt:lpstr>cs.GRASalary2</vt:lpstr>
      <vt:lpstr>cs.GRASalary3</vt:lpstr>
      <vt:lpstr>cs.GRASalary4</vt:lpstr>
      <vt:lpstr>cs.GRASalary5</vt:lpstr>
      <vt:lpstr>cs.GRASalaryToT</vt:lpstr>
      <vt:lpstr>cs.IDCbase1</vt:lpstr>
      <vt:lpstr>cs.IDCbase2</vt:lpstr>
      <vt:lpstr>cs.IDCbase3</vt:lpstr>
      <vt:lpstr>cs.IDCbase4</vt:lpstr>
      <vt:lpstr>cs.IDCbase5</vt:lpstr>
      <vt:lpstr>cs.IDCbaseTot</vt:lpstr>
      <vt:lpstr>cs.IDCTot</vt:lpstr>
      <vt:lpstr>cs.IDCYr1</vt:lpstr>
      <vt:lpstr>cs.IDCYr2</vt:lpstr>
      <vt:lpstr>cs.IDCYr3</vt:lpstr>
      <vt:lpstr>cs.IDCYr4</vt:lpstr>
      <vt:lpstr>cs.IDCYr5</vt:lpstr>
      <vt:lpstr>cs.NICRARate</vt:lpstr>
      <vt:lpstr>cs.Oth.Fringe1</vt:lpstr>
      <vt:lpstr>cs.Oth.Fringe2</vt:lpstr>
      <vt:lpstr>cs.Oth.Fringe3</vt:lpstr>
      <vt:lpstr>cs.Oth.Fringe4</vt:lpstr>
      <vt:lpstr>cs.Oth.Fringe5</vt:lpstr>
      <vt:lpstr>cs.Oth.FringeTot</vt:lpstr>
      <vt:lpstr>cs.Oth.Salary1</vt:lpstr>
      <vt:lpstr>cs.Oth.Salary2</vt:lpstr>
      <vt:lpstr>cs.Oth.Salary3</vt:lpstr>
      <vt:lpstr>cs.Oth.Salary4</vt:lpstr>
      <vt:lpstr>cs.Oth.Salary5</vt:lpstr>
      <vt:lpstr>cs.Oth.SalaryTot</vt:lpstr>
      <vt:lpstr>cs.OthDirCost1</vt:lpstr>
      <vt:lpstr>cs.OthDirCost2</vt:lpstr>
      <vt:lpstr>cs.OthDirCost3</vt:lpstr>
      <vt:lpstr>cs.OthDirCost4</vt:lpstr>
      <vt:lpstr>cs.OthDirCost5</vt:lpstr>
      <vt:lpstr>cs.OthDirCostTot</vt:lpstr>
      <vt:lpstr>cs.OtherRates</vt:lpstr>
      <vt:lpstr>cs.PSCTot</vt:lpstr>
      <vt:lpstr>cs.PSCYr1</vt:lpstr>
      <vt:lpstr>cs.PSCYr2</vt:lpstr>
      <vt:lpstr>cs.PSCYr3</vt:lpstr>
      <vt:lpstr>cs.PSCYr4</vt:lpstr>
      <vt:lpstr>cs.PSCYr5</vt:lpstr>
      <vt:lpstr>cs.RateOptions</vt:lpstr>
      <vt:lpstr>cs.SrFringe1</vt:lpstr>
      <vt:lpstr>cs.SrFringe2</vt:lpstr>
      <vt:lpstr>cs.SrFringe3</vt:lpstr>
      <vt:lpstr>cs.SrFringe4</vt:lpstr>
      <vt:lpstr>cs.SrFringe5</vt:lpstr>
      <vt:lpstr>cs.SrFringeTot</vt:lpstr>
      <vt:lpstr>cs.SrSalary1</vt:lpstr>
      <vt:lpstr>cs.SrSalary2</vt:lpstr>
      <vt:lpstr>cs.SrSalary3</vt:lpstr>
      <vt:lpstr>cs.SrSalary4</vt:lpstr>
      <vt:lpstr>cs.SrSalary5</vt:lpstr>
      <vt:lpstr>cs.SrSalaryTot</vt:lpstr>
      <vt:lpstr>cs.SubTot1</vt:lpstr>
      <vt:lpstr>cs.SubTot2</vt:lpstr>
      <vt:lpstr>cs.SubTot3</vt:lpstr>
      <vt:lpstr>cs.SubTot4</vt:lpstr>
      <vt:lpstr>cs.SubTot5</vt:lpstr>
      <vt:lpstr>cs.SubTotCombined</vt:lpstr>
      <vt:lpstr>cs.TDCTot</vt:lpstr>
      <vt:lpstr>cs.TDCY1</vt:lpstr>
      <vt:lpstr>cs.TDCY2</vt:lpstr>
      <vt:lpstr>cs.TDCY3</vt:lpstr>
      <vt:lpstr>cs.TDCY4</vt:lpstr>
      <vt:lpstr>cs.TDCY5</vt:lpstr>
      <vt:lpstr>cs.Tot.Oth.Per.Ben.Tuit.Tot</vt:lpstr>
      <vt:lpstr>cs.Tot.Oth.Per.Ben.Tuit1</vt:lpstr>
      <vt:lpstr>cs.Tot.Oth.Per.Ben.Tuit2</vt:lpstr>
      <vt:lpstr>cs.Tot.Oth.Per.Ben.Tuit3</vt:lpstr>
      <vt:lpstr>cs.Tot.Oth.Per.Ben.Tuit4</vt:lpstr>
      <vt:lpstr>cs.Tot.Oth.Per.Ben.Tuit5</vt:lpstr>
      <vt:lpstr>cs.Tot.Oth.PerSalary1</vt:lpstr>
      <vt:lpstr>cs.Tot.Oth.PerSalary2</vt:lpstr>
      <vt:lpstr>cs.Tot.Oth.PerSalary3</vt:lpstr>
      <vt:lpstr>cs.Tot.Oth.PerSalary4</vt:lpstr>
      <vt:lpstr>cs.Tot.Oth.PerSalary5</vt:lpstr>
      <vt:lpstr>cs.Tot.Oth.PerSalaryTot</vt:lpstr>
      <vt:lpstr>cs.Travel1</vt:lpstr>
      <vt:lpstr>cs.Travel2</vt:lpstr>
      <vt:lpstr>cs.Travel3</vt:lpstr>
      <vt:lpstr>cs.Travel4</vt:lpstr>
      <vt:lpstr>cs.Travel5</vt:lpstr>
      <vt:lpstr>cs.TravelTot</vt:lpstr>
      <vt:lpstr>CSSub1Yr1</vt:lpstr>
      <vt:lpstr>CSSub1Yr2</vt:lpstr>
      <vt:lpstr>CSSub1Yr3</vt:lpstr>
      <vt:lpstr>CSSub1Yr4</vt:lpstr>
      <vt:lpstr>CSSub1Yr5</vt:lpstr>
      <vt:lpstr>CSSub2Yr1</vt:lpstr>
      <vt:lpstr>CSSub2Yr2</vt:lpstr>
      <vt:lpstr>CSSub2Yr3</vt:lpstr>
      <vt:lpstr>CSSub2Yr4</vt:lpstr>
      <vt:lpstr>CSSub2Yr5</vt:lpstr>
      <vt:lpstr>CSSub3Yr1</vt:lpstr>
      <vt:lpstr>CSSub3Yr2</vt:lpstr>
      <vt:lpstr>CSSub3Yr3</vt:lpstr>
      <vt:lpstr>CSSub3Yr4</vt:lpstr>
      <vt:lpstr>CSSub3Yr5</vt:lpstr>
      <vt:lpstr>CSSub4Yr1</vt:lpstr>
      <vt:lpstr>CSSub4Yr2</vt:lpstr>
      <vt:lpstr>CSSub4Yr3</vt:lpstr>
      <vt:lpstr>CSSub4Yr4</vt:lpstr>
      <vt:lpstr>CSSub4Yr5</vt:lpstr>
      <vt:lpstr>CSSub5Yr1</vt:lpstr>
      <vt:lpstr>CSSub5Yr2</vt:lpstr>
      <vt:lpstr>CSSub5Yr3</vt:lpstr>
      <vt:lpstr>CSSub5Yr4</vt:lpstr>
      <vt:lpstr>CSSub5Yr5</vt:lpstr>
      <vt:lpstr>CSSubsExcl1</vt:lpstr>
      <vt:lpstr>CSSubsExcl2</vt:lpstr>
      <vt:lpstr>CSSubsExcl3</vt:lpstr>
      <vt:lpstr>CSSubsExcl4</vt:lpstr>
      <vt:lpstr>CSSubsExcl5</vt:lpstr>
      <vt:lpstr>DomesticTravelTOT</vt:lpstr>
      <vt:lpstr>Equip1</vt:lpstr>
      <vt:lpstr>Equip2</vt:lpstr>
      <vt:lpstr>Equip3</vt:lpstr>
      <vt:lpstr>Equip4</vt:lpstr>
      <vt:lpstr>Equip5</vt:lpstr>
      <vt:lpstr>EquipTOT</vt:lpstr>
      <vt:lpstr>ExclCSSub1Yr1</vt:lpstr>
      <vt:lpstr>ExclCSSub1Yr2</vt:lpstr>
      <vt:lpstr>ExclCSSub1Yr3</vt:lpstr>
      <vt:lpstr>ExclCSSub1Yr4</vt:lpstr>
      <vt:lpstr>ExclCSSub1Yr5</vt:lpstr>
      <vt:lpstr>ExclCSSub2Yr1</vt:lpstr>
      <vt:lpstr>ExclCSSub2Yr2</vt:lpstr>
      <vt:lpstr>ExclCSSub2Yr3</vt:lpstr>
      <vt:lpstr>ExclCSSub2Yr4</vt:lpstr>
      <vt:lpstr>ExclCSSub2Yr5</vt:lpstr>
      <vt:lpstr>ExclCSSub3Yr1</vt:lpstr>
      <vt:lpstr>ExclCSSub3Yr2</vt:lpstr>
      <vt:lpstr>ExclCSSub3Yr3</vt:lpstr>
      <vt:lpstr>ExclCSSub3Yr4</vt:lpstr>
      <vt:lpstr>ExclCSSub3Yr5</vt:lpstr>
      <vt:lpstr>ExclCSSub4Yr1</vt:lpstr>
      <vt:lpstr>ExclCSSub4Yr2</vt:lpstr>
      <vt:lpstr>ExclCSSub4Yr3</vt:lpstr>
      <vt:lpstr>ExclCSSub4Yr4</vt:lpstr>
      <vt:lpstr>ExclCSSub4Yr5</vt:lpstr>
      <vt:lpstr>ExclCSSub5Yr1</vt:lpstr>
      <vt:lpstr>ExclCSSub5Yr2</vt:lpstr>
      <vt:lpstr>ExclCSSub5Yr3</vt:lpstr>
      <vt:lpstr>ExclCSSub5Yr4</vt:lpstr>
      <vt:lpstr>ExclCSSub5Yr5</vt:lpstr>
      <vt:lpstr>ExclSub1ToT</vt:lpstr>
      <vt:lpstr>ExclSub1Yr1</vt:lpstr>
      <vt:lpstr>ExclSub1Yr2</vt:lpstr>
      <vt:lpstr>ExclSub1Yr3</vt:lpstr>
      <vt:lpstr>ExclSub1Yr4</vt:lpstr>
      <vt:lpstr>ExclSub1Yr5</vt:lpstr>
      <vt:lpstr>ExclSub2Yr1</vt:lpstr>
      <vt:lpstr>ExclSub2Yr2</vt:lpstr>
      <vt:lpstr>ExclSub2Yr3</vt:lpstr>
      <vt:lpstr>ExclSub2Yr4</vt:lpstr>
      <vt:lpstr>ExclSub2Yr5</vt:lpstr>
      <vt:lpstr>ExclSub3Yr1</vt:lpstr>
      <vt:lpstr>ExclSub3Yr2</vt:lpstr>
      <vt:lpstr>ExclSub3Yr3</vt:lpstr>
      <vt:lpstr>ExclSub3Yr4</vt:lpstr>
      <vt:lpstr>ExclSub3Yr5</vt:lpstr>
      <vt:lpstr>ExclSub4Yr1</vt:lpstr>
      <vt:lpstr>ExclSub4Yr2</vt:lpstr>
      <vt:lpstr>ExclSub4Yr3</vt:lpstr>
      <vt:lpstr>ExclSub4Yr4</vt:lpstr>
      <vt:lpstr>ExclSub4Yr5</vt:lpstr>
      <vt:lpstr>ExclSub5ToT</vt:lpstr>
      <vt:lpstr>ExclSub5Yr1</vt:lpstr>
      <vt:lpstr>ExclSub5Yr2</vt:lpstr>
      <vt:lpstr>ExclSub5Yr3</vt:lpstr>
      <vt:lpstr>ExclSub5Yr4</vt:lpstr>
      <vt:lpstr>ExclSub5Yr5</vt:lpstr>
      <vt:lpstr>FullInsurance</vt:lpstr>
      <vt:lpstr>GRABenefits1</vt:lpstr>
      <vt:lpstr>GRABenefits2</vt:lpstr>
      <vt:lpstr>GRABenefits3</vt:lpstr>
      <vt:lpstr>GRABenefits4</vt:lpstr>
      <vt:lpstr>GRABenefits5</vt:lpstr>
      <vt:lpstr>GRABenefitsToT</vt:lpstr>
      <vt:lpstr>IDCBase1</vt:lpstr>
      <vt:lpstr>IDCBase2</vt:lpstr>
      <vt:lpstr>IDCBase3</vt:lpstr>
      <vt:lpstr>IDCBase4</vt:lpstr>
      <vt:lpstr>IDCBase5</vt:lpstr>
      <vt:lpstr>IDCBaseTOT</vt:lpstr>
      <vt:lpstr>IDCRate</vt:lpstr>
      <vt:lpstr>IDCTOT</vt:lpstr>
      <vt:lpstr>IDCYr1</vt:lpstr>
      <vt:lpstr>IDCYr2</vt:lpstr>
      <vt:lpstr>IDCYr3</vt:lpstr>
      <vt:lpstr>IDCYr4</vt:lpstr>
      <vt:lpstr>IDCYr5</vt:lpstr>
      <vt:lpstr>InternatTravelTOT</vt:lpstr>
      <vt:lpstr>MatSupTOT</vt:lpstr>
      <vt:lpstr>MTDCbase</vt:lpstr>
      <vt:lpstr>MTDCBase1</vt:lpstr>
      <vt:lpstr>NICRARates</vt:lpstr>
      <vt:lpstr>Oth.PerBenefitsTuition1</vt:lpstr>
      <vt:lpstr>Oth.PerBenefitsTuition2</vt:lpstr>
      <vt:lpstr>Oth.PerBenefitsTuition3</vt:lpstr>
      <vt:lpstr>Oth.PerBenefitsTuition4</vt:lpstr>
      <vt:lpstr>Oth.PerBenefitsTuition5</vt:lpstr>
      <vt:lpstr>Oth.PerBenefitsTuitionToT</vt:lpstr>
      <vt:lpstr>OtherDirCosts1</vt:lpstr>
      <vt:lpstr>OtherDirCosts2</vt:lpstr>
      <vt:lpstr>OtherDirCosts3</vt:lpstr>
      <vt:lpstr>OtherDirCosts4</vt:lpstr>
      <vt:lpstr>OtherDirCosts5</vt:lpstr>
      <vt:lpstr>OtherDirCostsTOT</vt:lpstr>
      <vt:lpstr>OtherGRASalary1</vt:lpstr>
      <vt:lpstr>OtherGRASalary2</vt:lpstr>
      <vt:lpstr>OtherGRASalary3</vt:lpstr>
      <vt:lpstr>OtherGRASalary4</vt:lpstr>
      <vt:lpstr>OtherGRASalary5</vt:lpstr>
      <vt:lpstr>OtherGRASalaryTot</vt:lpstr>
      <vt:lpstr>OtherPersonalSalaryToT</vt:lpstr>
      <vt:lpstr>OtherPersonnelBenefits1</vt:lpstr>
      <vt:lpstr>OtherPersonnelBenefits2</vt:lpstr>
      <vt:lpstr>OtherPersonnelBenefits3</vt:lpstr>
      <vt:lpstr>OtherPersonnelBenefits4</vt:lpstr>
      <vt:lpstr>OtherPersonnelBenefits5</vt:lpstr>
      <vt:lpstr>OtherPersonnelBenefitsToT</vt:lpstr>
      <vt:lpstr>OtherPersonnelSalary2</vt:lpstr>
      <vt:lpstr>OtherPersonnelSalary3</vt:lpstr>
      <vt:lpstr>OtherPersonnelSalary4</vt:lpstr>
      <vt:lpstr>OtherPersonnelSalary5</vt:lpstr>
      <vt:lpstr>OtherPersonnnelSalary1</vt:lpstr>
      <vt:lpstr>OtherRate</vt:lpstr>
      <vt:lpstr>OtherRates</vt:lpstr>
      <vt:lpstr>OtherSalary1</vt:lpstr>
      <vt:lpstr>OtherSalary2</vt:lpstr>
      <vt:lpstr>OtherSalary3</vt:lpstr>
      <vt:lpstr>OtherSalary4</vt:lpstr>
      <vt:lpstr>OtherSalary5</vt:lpstr>
      <vt:lpstr>OtherSalaryTot</vt:lpstr>
      <vt:lpstr>'Budget Details'!Print_Area</vt:lpstr>
      <vt:lpstr>PSCTot</vt:lpstr>
      <vt:lpstr>PSCYr1</vt:lpstr>
      <vt:lpstr>PSCYr2</vt:lpstr>
      <vt:lpstr>PSCYr3</vt:lpstr>
      <vt:lpstr>PSCYr4</vt:lpstr>
      <vt:lpstr>PSCYr5</vt:lpstr>
      <vt:lpstr>PubTOT</vt:lpstr>
      <vt:lpstr>RateOptions</vt:lpstr>
      <vt:lpstr>SrFringe1</vt:lpstr>
      <vt:lpstr>SrFringe2</vt:lpstr>
      <vt:lpstr>SrFringe3</vt:lpstr>
      <vt:lpstr>SrFringe4</vt:lpstr>
      <vt:lpstr>SrFringe5</vt:lpstr>
      <vt:lpstr>SrFringeTot</vt:lpstr>
      <vt:lpstr>SrSalary1</vt:lpstr>
      <vt:lpstr>SrSalary2</vt:lpstr>
      <vt:lpstr>SrSalary3</vt:lpstr>
      <vt:lpstr>SrSalary4</vt:lpstr>
      <vt:lpstr>SrSalary5</vt:lpstr>
      <vt:lpstr>SrSalaryToT</vt:lpstr>
      <vt:lpstr>Sub1TOT</vt:lpstr>
      <vt:lpstr>Sub1Yr1</vt:lpstr>
      <vt:lpstr>Sub1Yr2</vt:lpstr>
      <vt:lpstr>Sub1Yr3</vt:lpstr>
      <vt:lpstr>Sub1Yr4</vt:lpstr>
      <vt:lpstr>Sub1Yr5</vt:lpstr>
      <vt:lpstr>Sub2TOT</vt:lpstr>
      <vt:lpstr>Sub2Yr1</vt:lpstr>
      <vt:lpstr>Sub2Yr2</vt:lpstr>
      <vt:lpstr>Sub2Yr3</vt:lpstr>
      <vt:lpstr>Sub2Yr4</vt:lpstr>
      <vt:lpstr>Sub2Yr5</vt:lpstr>
      <vt:lpstr>Sub3TOT</vt:lpstr>
      <vt:lpstr>Sub3Yr1</vt:lpstr>
      <vt:lpstr>Sub3Yr2</vt:lpstr>
      <vt:lpstr>Sub3Yr3</vt:lpstr>
      <vt:lpstr>Sub3Yr4</vt:lpstr>
      <vt:lpstr>Sub3Yr5</vt:lpstr>
      <vt:lpstr>Sub4TOT</vt:lpstr>
      <vt:lpstr>Sub4Yr1</vt:lpstr>
      <vt:lpstr>Sub4Yr2</vt:lpstr>
      <vt:lpstr>Sub4Yr3</vt:lpstr>
      <vt:lpstr>Sub4Yr4</vt:lpstr>
      <vt:lpstr>Sub4Yr5</vt:lpstr>
      <vt:lpstr>Sub5TOT</vt:lpstr>
      <vt:lpstr>Sub5Yr1</vt:lpstr>
      <vt:lpstr>Sub5Yr2</vt:lpstr>
      <vt:lpstr>Sub5Yr3</vt:lpstr>
      <vt:lpstr>Sub5Yr4</vt:lpstr>
      <vt:lpstr>Sub5Yr5</vt:lpstr>
      <vt:lpstr>SubAwrdTtl1</vt:lpstr>
      <vt:lpstr>SubAwrdTtl2</vt:lpstr>
      <vt:lpstr>SubAwrdTtl3</vt:lpstr>
      <vt:lpstr>SubAwrdTtl4</vt:lpstr>
      <vt:lpstr>SubAwrdTtl5</vt:lpstr>
      <vt:lpstr>SubsYr1Excl</vt:lpstr>
      <vt:lpstr>SubsYr2Excl</vt:lpstr>
      <vt:lpstr>SubsYr3Excl</vt:lpstr>
      <vt:lpstr>SubsYr4Excl</vt:lpstr>
      <vt:lpstr>SubsYr5Excl</vt:lpstr>
      <vt:lpstr>TDCTOT</vt:lpstr>
      <vt:lpstr>TDCYr1</vt:lpstr>
      <vt:lpstr>TDCYr2</vt:lpstr>
      <vt:lpstr>TDCYr3</vt:lpstr>
      <vt:lpstr>TDCYr4</vt:lpstr>
      <vt:lpstr>TDCYr5</vt:lpstr>
      <vt:lpstr>TotalCostShare1</vt:lpstr>
      <vt:lpstr>TotalCostShare2</vt:lpstr>
      <vt:lpstr>TotalCostShare3</vt:lpstr>
      <vt:lpstr>TotalCostShare4</vt:lpstr>
      <vt:lpstr>TotalCostShare5</vt:lpstr>
      <vt:lpstr>TotalCostShareCombined</vt:lpstr>
      <vt:lpstr>TotalCostsTOT</vt:lpstr>
      <vt:lpstr>TotalCostsYr1</vt:lpstr>
      <vt:lpstr>TotalCostsYr2</vt:lpstr>
      <vt:lpstr>TotalCostsYr3</vt:lpstr>
      <vt:lpstr>TotalCostsYr4</vt:lpstr>
      <vt:lpstr>TotalCostsYr5</vt:lpstr>
      <vt:lpstr>Travel1</vt:lpstr>
      <vt:lpstr>Travel2</vt:lpstr>
      <vt:lpstr>Travel3</vt:lpstr>
      <vt:lpstr>Travel4</vt:lpstr>
      <vt:lpstr>Travel5</vt:lpstr>
      <vt:lpstr>TravelTOT</vt:lpstr>
      <vt:lpstr>Tuition1</vt:lpstr>
      <vt:lpstr>Tuition2</vt:lpstr>
      <vt:lpstr>Tuition3</vt:lpstr>
      <vt:lpstr>Tuition4</vt:lpstr>
      <vt:lpstr>Tuition5</vt:lpstr>
      <vt:lpstr>TuitionTotal</vt:lpstr>
    </vt:vector>
  </TitlesOfParts>
  <Manager/>
  <Company>Northern Arizona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Northern Arizona University</dc:creator>
  <cp:keywords/>
  <dc:description/>
  <cp:lastModifiedBy>Elena Kristine Miranda</cp:lastModifiedBy>
  <cp:revision/>
  <dcterms:created xsi:type="dcterms:W3CDTF">2003-10-28T16:25:37Z</dcterms:created>
  <dcterms:modified xsi:type="dcterms:W3CDTF">2025-08-27T22:29:32Z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0x010100C3A01F4FA7C9454A8938C55A82822659</vt:lpwstr>
  </property>
  <property fmtid="{D5CDD505-2E9C-101B-9397-08002B2CF9AE}" pid="3" name="MediaServiceImageTags">
    <vt:lpwstr/>
  </property>
</Properties>
</file>