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updateLinks="always" autoCompressPictures="0"/>
  <mc:AlternateContent xmlns:mc="http://schemas.openxmlformats.org/markup-compatibility/2006">
    <mc:Choice Requires="x15">
      <x15ac:absPath xmlns:x15ac="http://schemas.microsoft.com/office/spreadsheetml/2010/11/ac" url="C:\Users\ekm235\Downloads\"/>
    </mc:Choice>
  </mc:AlternateContent>
  <xr:revisionPtr revIDLastSave="0" documentId="13_ncr:1_{06B45846-4D41-4D1C-9C79-485CC6BAB3A2}" xr6:coauthVersionLast="47" xr6:coauthVersionMax="47" xr10:uidLastSave="{00000000-0000-0000-0000-000000000000}"/>
  <bookViews>
    <workbookView xWindow="-120" yWindow="-120" windowWidth="29040" windowHeight="15720" tabRatio="611" xr2:uid="{00000000-000D-0000-FFFF-FFFF00000000}"/>
  </bookViews>
  <sheets>
    <sheet name="Start Here" sheetId="4" r:id="rId1"/>
    <sheet name="Budget Details" sheetId="1" r:id="rId2"/>
    <sheet name="Cumulative" sheetId="6" r:id="rId3"/>
    <sheet name=" Travel Calculator" sheetId="8" r:id="rId4"/>
    <sheet name="Summary_of_Personnel Costs" sheetId="9" state="hidden" r:id="rId5"/>
    <sheet name="Rates" sheetId="7" state="hidden" r:id="rId6"/>
    <sheet name="Person Months" sheetId="3" state="hidden" r:id="rId7"/>
  </sheets>
  <definedNames>
    <definedName name="cs.DometicTravelTOT">'Budget Details'!$Y$162:$Y$164</definedName>
    <definedName name="cs.Equip1">'Budget Details'!$V$159</definedName>
    <definedName name="cs.Equip2">'Budget Details'!$W$159</definedName>
    <definedName name="cs.Equip3">'Budget Details'!$X$159</definedName>
    <definedName name="cs.ExclSub1Yr1">'Budget Details'!$V$198</definedName>
    <definedName name="cs.ExclSub1Yr2">'Budget Details'!$W$198</definedName>
    <definedName name="cs.ExclSub1Yr3">'Budget Details'!$X$198</definedName>
    <definedName name="cs.ExclSub2Yr1">'Budget Details'!$V$200</definedName>
    <definedName name="cs.ExclSub2Yr2">'Budget Details'!$W$200</definedName>
    <definedName name="cs.ExclSub2Yr3">'Budget Details'!$X$200</definedName>
    <definedName name="cs.ExclSub3Yr1">'Budget Details'!$V$202</definedName>
    <definedName name="cs.ExclSub3Yr2">'Budget Details'!$W$202</definedName>
    <definedName name="cs.ExclSub3Yr3">'Budget Details'!$X$202</definedName>
    <definedName name="cs.ExclSub4Yr1">'Budget Details'!$V$204</definedName>
    <definedName name="cs.ExclSub4Yr2">'Budget Details'!$W$204</definedName>
    <definedName name="cs.ExclSub4Yr3">'Budget Details'!$X$204</definedName>
    <definedName name="cs.ExclSub5Yr1">'Budget Details'!$V$206</definedName>
    <definedName name="cs.ExclSub5Yr2">'Budget Details'!$W$206</definedName>
    <definedName name="cs.ExclSub5Yr3">'Budget Details'!$X$206</definedName>
    <definedName name="cs.ForgoneIdcCalculation1">'Budget Details'!$V$212</definedName>
    <definedName name="cs.ForgoneIdcCalculation2">'Budget Details'!$W$212</definedName>
    <definedName name="cs.ForgoneIdcCalculation3">'Budget Details'!$X$212</definedName>
    <definedName name="cs.ForgoneIdcCalculationTot">'Budget Details'!$Y$212</definedName>
    <definedName name="cs.GRA.Tuition1">'Budget Details'!$V$150</definedName>
    <definedName name="cs.GRA.Tuition2">'Budget Details'!$W$150</definedName>
    <definedName name="cs.GRA.Tuition3">'Budget Details'!$X$150</definedName>
    <definedName name="cs.GRA.TutionTot">'Budget Details'!$Y$150</definedName>
    <definedName name="cs.GRABenefits1">'Budget Details'!$V$137</definedName>
    <definedName name="cs.GRABenefits2">'Budget Details'!$W$137</definedName>
    <definedName name="cs.GRABenefits3">'Budget Details'!$X$137</definedName>
    <definedName name="cs.GRABenefitsToT">'Budget Details'!$Y$137</definedName>
    <definedName name="cs.GRASalary1">'Budget Details'!$V$67</definedName>
    <definedName name="cs.GRASalary2">'Budget Details'!$W$67</definedName>
    <definedName name="cs.GRASalary3">'Budget Details'!$X$67</definedName>
    <definedName name="cs.GRASalaryToT">'Budget Details'!$Y$67</definedName>
    <definedName name="cs.IDCbase1">'Budget Details'!$V$210</definedName>
    <definedName name="cs.IDCbase2">'Budget Details'!$W$210</definedName>
    <definedName name="cs.IDCbase3">'Budget Details'!$X$210</definedName>
    <definedName name="cs.IDCbaseTot">'Budget Details'!$Y$210</definedName>
    <definedName name="cs.IDCRate">'Budget Details'!$AG$211</definedName>
    <definedName name="cs.IDCTOT">'Budget Details'!$Y$211</definedName>
    <definedName name="cs.IDCYr1">'Budget Details'!$V$211</definedName>
    <definedName name="cs.IDCYr2">'Budget Details'!$W$211</definedName>
    <definedName name="cs.IDCYr3">'Budget Details'!$X$211</definedName>
    <definedName name="cs.InternatTravelTOT">'Budget Details'!$Y$165:$Y$167</definedName>
    <definedName name="cs.NICRARate">'Budget Details'!$AH$212</definedName>
    <definedName name="cs.Oth.Fringe1">'Budget Details'!$V$114</definedName>
    <definedName name="cs.Oth.Fringe2">'Budget Details'!$W$114</definedName>
    <definedName name="cs.Oth.Fringe3">'Budget Details'!$X$114</definedName>
    <definedName name="cs.Oth.FringeTot">'Budget Details'!$Y$114</definedName>
    <definedName name="cs.Oth.Salary1">'Budget Details'!$V$54</definedName>
    <definedName name="cs.Oth.Salary2">'Budget Details'!$W$54</definedName>
    <definedName name="cs.Oth.Salary3">'Budget Details'!$X$54</definedName>
    <definedName name="cs.Oth.SalaryTOT">'Budget Details'!$Y$54</definedName>
    <definedName name="cs.OthDirCost1">'Budget Details'!$V$195</definedName>
    <definedName name="cs.OthDirCost2">'Budget Details'!$W$195</definedName>
    <definedName name="cs.OthDirCost3">'Budget Details'!$X$195</definedName>
    <definedName name="cs.OtherRates">'Budget Details'!$AJ$211</definedName>
    <definedName name="cs.PSCYr1">'Budget Details'!$V$176</definedName>
    <definedName name="cs.PSCYr2">'Budget Details'!$W$176</definedName>
    <definedName name="cs.PSCYr3">'Budget Details'!$X$176</definedName>
    <definedName name="cs.RateOptions">'Budget Details'!$AD$211</definedName>
    <definedName name="cs.SrFringe1">'Budget Details'!$V$91</definedName>
    <definedName name="cs.SrFringe2">'Budget Details'!$W$91</definedName>
    <definedName name="cs.SrFringe3">'Budget Details'!$X$91</definedName>
    <definedName name="cs.SrSalary1">'Budget Details'!$V$31</definedName>
    <definedName name="cs.SrSalary2">'Budget Details'!$W$31</definedName>
    <definedName name="cs.SrSalary3">'Budget Details'!$X$31</definedName>
    <definedName name="cs.Sub1Yr1">'Budget Details'!$V$197</definedName>
    <definedName name="cs.Sub1Yr2">'Budget Details'!$W$197</definedName>
    <definedName name="cs.Sub1Yr3">'Budget Details'!$X$197</definedName>
    <definedName name="cs.Sub2Yr1">'Budget Details'!$V$199</definedName>
    <definedName name="cs.Sub2Yr2">'Budget Details'!$W$199</definedName>
    <definedName name="cs.Sub2Yr3">'Budget Details'!$X$199</definedName>
    <definedName name="cs.Sub3Yr1">'Budget Details'!$V$201</definedName>
    <definedName name="cs.Sub3Yr2">'Budget Details'!$W$201</definedName>
    <definedName name="cs.Sub3Yr3">'Budget Details'!$X$201</definedName>
    <definedName name="cs.Sub4Yr1">'Budget Details'!$V$203</definedName>
    <definedName name="cs.Sub4Yr2">'Budget Details'!$W$203</definedName>
    <definedName name="cs.Sub4Yr3">'Budget Details'!$X$203</definedName>
    <definedName name="cs.Sub5Yr1">'Budget Details'!$V$205</definedName>
    <definedName name="cs.Sub5Yr2">'Budget Details'!$W$205</definedName>
    <definedName name="cs.Sub5Yr3">'Budget Details'!$X$205</definedName>
    <definedName name="cs.SubsExcl1">'Budget Details'!$V$198:$X$198</definedName>
    <definedName name="cs.SubsExcl2">'Budget Details'!$V$200:$X$200</definedName>
    <definedName name="cs.SubsExcl3">'Budget Details'!$V$202:$X$202</definedName>
    <definedName name="cs.SubsExcl4">'Budget Details'!$V$204:$X$204</definedName>
    <definedName name="cs.SubsExcl5">'Budget Details'!$V$206:$X$206</definedName>
    <definedName name="cs.SubsYr1Excl">'Budget Details'!$V$198,'Budget Details'!$V$200,'Budget Details'!$V$202,'Budget Details'!$V$204,'Budget Details'!$V$206</definedName>
    <definedName name="cs.SubsYr2Excl">'Budget Details'!$W$198,'Budget Details'!$W$200,'Budget Details'!$W$202,'Budget Details'!$W$204,'Budget Details'!$W$206</definedName>
    <definedName name="cs.SubsYr3Excl">'Budget Details'!$X$198,'Budget Details'!$X$200,'Budget Details'!$X$202,'Budget Details'!$X$204,'Budget Details'!$X$206</definedName>
    <definedName name="cs.SubTot1">'Budget Details'!$V$207</definedName>
    <definedName name="cs.SubTot2">'Budget Details'!$W$207</definedName>
    <definedName name="cs.SubTot3">'Budget Details'!$X$207</definedName>
    <definedName name="cs.TDCTot">'Budget Details'!$Y$208</definedName>
    <definedName name="cs.TDCY1">'Budget Details'!$V$208</definedName>
    <definedName name="cs.TDCY2">'Budget Details'!$W$208</definedName>
    <definedName name="cs.TDCY3">'Budget Details'!$X$208</definedName>
    <definedName name="cs.Tot.Oth.Per.Ben.Tuit1">'Budget Details'!$V$151</definedName>
    <definedName name="cs.Tot.Oth.Per.Ben.Tuit2">'Budget Details'!$W$151</definedName>
    <definedName name="cs.Tot.Oth.Per.Ben.Tuit3">'Budget Details'!$X$151</definedName>
    <definedName name="cs.Tot.Oth.PerSalary1">'Budget Details'!$V$68</definedName>
    <definedName name="cs.Tot.Oth.PerSalary2">'Budget Details'!$W$68</definedName>
    <definedName name="cs.Tot.Oth.PerSalary3">'Budget Details'!$X$68</definedName>
    <definedName name="cs.Travel1">'Budget Details'!$V$168</definedName>
    <definedName name="cs.Travel2">'Budget Details'!$W$168</definedName>
    <definedName name="cs.Travel3">'Budget Details'!$X$168</definedName>
    <definedName name="cs.TravelTotal">'Budget Details'!$Y$168</definedName>
    <definedName name="DomesticTravelTOT">'Budget Details'!$T$162:$T$164</definedName>
    <definedName name="Equip1">'Budget Details'!$Q$159</definedName>
    <definedName name="Equip2">'Budget Details'!$R$159</definedName>
    <definedName name="Equip3">'Budget Details'!$S$159</definedName>
    <definedName name="EquipTOT">'Budget Details'!$T$159</definedName>
    <definedName name="ExclSub1Yr1">'Budget Details'!$Q$198</definedName>
    <definedName name="ExclSub1Yr2">'Budget Details'!$R$198</definedName>
    <definedName name="ExclSub1Yr3">'Budget Details'!$S$198</definedName>
    <definedName name="ExclSub2Yr1">'Budget Details'!$Q$200</definedName>
    <definedName name="ExclSub2Yr2">'Budget Details'!$R$200</definedName>
    <definedName name="ExclSub2Yr3">'Budget Details'!$S$200</definedName>
    <definedName name="ExclSub3Yr1">'Budget Details'!$Q$202</definedName>
    <definedName name="ExclSub3Yr2">'Budget Details'!$R$202</definedName>
    <definedName name="ExclSub3Yr3">'Budget Details'!$S$202</definedName>
    <definedName name="ExclSub4Yr1">'Budget Details'!$Q$204</definedName>
    <definedName name="ExclSub4Yr2">'Budget Details'!$R$204</definedName>
    <definedName name="ExclSub4Yr3">'Budget Details'!$S$204</definedName>
    <definedName name="ExclSub5Yr1">'Budget Details'!$Q$206</definedName>
    <definedName name="ExclSub5Yr2">'Budget Details'!$R$206</definedName>
    <definedName name="ExclSub5Yr3">'Budget Details'!$S$206</definedName>
    <definedName name="GRABenefits1">'Budget Details'!$Q$137</definedName>
    <definedName name="GRABenefits2">'Budget Details'!$R$137</definedName>
    <definedName name="GRABenefits3">'Budget Details'!$S$137</definedName>
    <definedName name="GRABenefitsTOT">'Budget Details'!$T$137</definedName>
    <definedName name="IDCBase1">'Budget Details'!$Q$210</definedName>
    <definedName name="IDCBase2">'Budget Details'!$R$210</definedName>
    <definedName name="IDCBase3">'Budget Details'!$S$210</definedName>
    <definedName name="IDCBaseTOT">'Budget Details'!$T$210</definedName>
    <definedName name="IDCRate">'Budget Details'!$F$211</definedName>
    <definedName name="IDCTOT">'Budget Details'!$T$211</definedName>
    <definedName name="IDCYr1">'Budget Details'!$Q$211</definedName>
    <definedName name="IDCYr2">'Budget Details'!$R$211</definedName>
    <definedName name="IDCYr3">'Budget Details'!$S$211</definedName>
    <definedName name="InternatTravelTOT">'Budget Details'!$T$165:$T$167</definedName>
    <definedName name="MatSupTOT">'Budget Details'!$T$179:$T$183</definedName>
    <definedName name="MTDCbase">'Budget Details'!$H$173</definedName>
    <definedName name="MTDCBase1">'Budget Details'!$N$172</definedName>
    <definedName name="NICRARates">'Budget Details'!$Y$173</definedName>
    <definedName name="Oth.PerBenefitsTuition1">'Budget Details'!$Q$151</definedName>
    <definedName name="Oth.PerBenefitsTuition2">'Budget Details'!$R$151</definedName>
    <definedName name="Oth.PerBenefitsTuition3">'Budget Details'!$S$151</definedName>
    <definedName name="OtherDirCosts1">'Budget Details'!$Q$195</definedName>
    <definedName name="OtherDirCosts2">'Budget Details'!$R$195</definedName>
    <definedName name="OtherDirCosts3">'Budget Details'!$S$195</definedName>
    <definedName name="OtherDirCostsTOT">'Budget Details'!$T$195</definedName>
    <definedName name="OtherGRASalary1">'Budget Details'!$Q$67</definedName>
    <definedName name="OtherGRASalary2">'Budget Details'!$R$67</definedName>
    <definedName name="OtherGRASalary3">'Budget Details'!$S$67</definedName>
    <definedName name="OtherGRASalaryTOT">'Budget Details'!$T$67</definedName>
    <definedName name="OtherPersonnelBenefits1">'Budget Details'!$Q$114</definedName>
    <definedName name="OtherPersonnelBenefits2">'Budget Details'!$R$114</definedName>
    <definedName name="OtherPersonnelBenefits3">'Budget Details'!$S$114</definedName>
    <definedName name="OtherPersonnelBenefitsTOT">'Budget Details'!$T$114</definedName>
    <definedName name="OtherPersonnelSalary2">'Budget Details'!$R$68</definedName>
    <definedName name="OtherPersonnelSalary3">'Budget Details'!$S$68</definedName>
    <definedName name="OtherPersonnnelSalary1">'Budget Details'!$Q$68</definedName>
    <definedName name="OtherRate">'Budget Details'!$I$211</definedName>
    <definedName name="OtherSalary1">'Budget Details'!$Q$54</definedName>
    <definedName name="OtherSalary2">'Budget Details'!$R$54</definedName>
    <definedName name="OtherSalary3">'Budget Details'!$S$54</definedName>
    <definedName name="OtherSalaryTot">'Budget Details'!$T$54</definedName>
    <definedName name="PIApptType">'Budget Details'!$F$11</definedName>
    <definedName name="PIBaseSalary">'Budget Details'!$E$11</definedName>
    <definedName name="PSCTOT">'Budget Details'!$T$176</definedName>
    <definedName name="PSCYr1">'Budget Details'!$Q$176</definedName>
    <definedName name="PSCYr2">'Budget Details'!$R$176</definedName>
    <definedName name="PSCYr3">'Budget Details'!$S$176</definedName>
    <definedName name="RateOptions">'Budget Details'!$D$211</definedName>
    <definedName name="SrFringe1">'Budget Details'!$Q$91</definedName>
    <definedName name="SrFringe2">'Budget Details'!$R$91</definedName>
    <definedName name="SrFringe3">'Budget Details'!$S$91</definedName>
    <definedName name="SrFringeTOT">'Budget Details'!$T$91</definedName>
    <definedName name="SrSalary1">'Budget Details'!$Q$31</definedName>
    <definedName name="SrSalary2">'Budget Details'!$R$31</definedName>
    <definedName name="srSalary3">'Budget Details'!$S$31</definedName>
    <definedName name="SrSalaryTot">'Budget Details'!$T$31</definedName>
    <definedName name="Sub1TOT">'Budget Details'!$T$197</definedName>
    <definedName name="Sub1Yr1">'Budget Details'!$Q$197</definedName>
    <definedName name="Sub1Yr2">'Budget Details'!$R$197</definedName>
    <definedName name="Sub1Yr3">'Budget Details'!$S$197</definedName>
    <definedName name="Sub2TOT">'Budget Details'!$T$199</definedName>
    <definedName name="Sub2Yr1">'Budget Details'!$Q$199</definedName>
    <definedName name="Sub2Yr2">'Budget Details'!$R$199</definedName>
    <definedName name="Sub2Yr3">'Budget Details'!$S$199</definedName>
    <definedName name="Sub3TOT">'Budget Details'!$T$201</definedName>
    <definedName name="Sub3Yr1">'Budget Details'!$Q$201</definedName>
    <definedName name="Sub3Yr2">'Budget Details'!$R$201</definedName>
    <definedName name="Sub3Yr3">'Budget Details'!$S$201</definedName>
    <definedName name="Sub4TOT">'Budget Details'!$T$203</definedName>
    <definedName name="Sub4Yr1">'Budget Details'!$Q$203</definedName>
    <definedName name="Sub4Yr2">'Budget Details'!$R$203</definedName>
    <definedName name="Sub4Yr3">'Budget Details'!$S$203</definedName>
    <definedName name="Sub5TOT">'Budget Details'!$T$205</definedName>
    <definedName name="Sub5Yr1">'Budget Details'!$Q$205</definedName>
    <definedName name="Sub5Yr2">'Budget Details'!$R$205</definedName>
    <definedName name="Sub5Yr3">'Budget Details'!$S$205</definedName>
    <definedName name="SubAwrdTtl1">'Budget Details'!$Q$207</definedName>
    <definedName name="SubAwrdTtl2">'Budget Details'!$R$207</definedName>
    <definedName name="SubAwrdTtl3">'Budget Details'!$S$207</definedName>
    <definedName name="SubsYr1Excl">'Budget Details'!$Q$198,'Budget Details'!$Q$200,'Budget Details'!$Q$202,'Budget Details'!$Q$204,'Budget Details'!$Q$206</definedName>
    <definedName name="SubsYr2Excl">'Budget Details'!$R$198,'Budget Details'!$R$200,'Budget Details'!$R$202,'Budget Details'!$R$204,'Budget Details'!$R$206</definedName>
    <definedName name="SubsYr3Excl">'Budget Details'!$S$198,'Budget Details'!$S$200,'Budget Details'!$S$202,'Budget Details'!$S$204,'Budget Details'!$S$206</definedName>
    <definedName name="TDCTOT">'Budget Details'!$T$208</definedName>
    <definedName name="TDCYr1">'Budget Details'!$Q$208</definedName>
    <definedName name="TDCYr2">'Budget Details'!$R$208</definedName>
    <definedName name="TDCYr3">'Budget Details'!$S$208</definedName>
    <definedName name="TotalCostsTOT">'Budget Details'!$T$213</definedName>
    <definedName name="TotalCostsYr1">'Budget Details'!$Q$213</definedName>
    <definedName name="TotalCostsYr2">'Budget Details'!$R$213</definedName>
    <definedName name="TotalCostsYr3">'Budget Details'!$S$213</definedName>
    <definedName name="Travel1">'Budget Details'!$Q$168</definedName>
    <definedName name="Travel2">'Budget Details'!$R$168</definedName>
    <definedName name="Travel3">'Budget Details'!$S$168</definedName>
    <definedName name="TravelTOT">'Budget Details'!$T$168</definedName>
    <definedName name="Tuition1">'Budget Details'!$Q$150</definedName>
    <definedName name="Tuition2">'Budget Details'!$R$150</definedName>
    <definedName name="Tuition3">'Budget Details'!$S$150</definedName>
    <definedName name="TuitionTOT">'Budget Details'!$T$150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AJ149" i="1" l="1"/>
  <c r="AJ148" i="1"/>
  <c r="AJ147" i="1"/>
  <c r="AJ146" i="1"/>
  <c r="AJ145" i="1"/>
  <c r="AJ144" i="1"/>
  <c r="AJ143" i="1"/>
  <c r="AJ142" i="1"/>
  <c r="AJ141" i="1"/>
  <c r="AJ140" i="1"/>
  <c r="F149" i="1"/>
  <c r="F148" i="1"/>
  <c r="F147" i="1"/>
  <c r="F146" i="1"/>
  <c r="F145" i="1"/>
  <c r="F144" i="1"/>
  <c r="F143" i="1"/>
  <c r="F142" i="1"/>
  <c r="F141" i="1"/>
  <c r="F140" i="1"/>
  <c r="C23" i="7"/>
  <c r="C22" i="7"/>
  <c r="C21" i="7"/>
  <c r="C16" i="7"/>
  <c r="V212" i="1"/>
  <c r="U186" i="1"/>
  <c r="U185" i="1"/>
  <c r="U184" i="1"/>
  <c r="S207" i="1"/>
  <c r="R207" i="1"/>
  <c r="Q207" i="1"/>
  <c r="X207" i="1"/>
  <c r="W207" i="1"/>
  <c r="V207" i="1"/>
  <c r="V171" i="1" l="1"/>
  <c r="W171" i="1"/>
  <c r="X171" i="1"/>
  <c r="V172" i="1"/>
  <c r="W172" i="1"/>
  <c r="X172" i="1"/>
  <c r="V173" i="1"/>
  <c r="W173" i="1"/>
  <c r="X173" i="1"/>
  <c r="V174" i="1"/>
  <c r="W174" i="1"/>
  <c r="X174" i="1"/>
  <c r="V175" i="1"/>
  <c r="W175" i="1"/>
  <c r="X175" i="1"/>
  <c r="V65" i="1" a="1"/>
  <c r="V65" i="1" s="1"/>
  <c r="V59" i="1" a="1"/>
  <c r="V59" i="1" s="1"/>
  <c r="V57" i="1" a="1"/>
  <c r="V57" i="1" s="1"/>
  <c r="J57" i="9"/>
  <c r="J58" i="9"/>
  <c r="J59" i="9"/>
  <c r="J60" i="9"/>
  <c r="J61" i="9"/>
  <c r="J62" i="9"/>
  <c r="J63" i="9"/>
  <c r="J64" i="9"/>
  <c r="J65" i="9"/>
  <c r="J56" i="9"/>
  <c r="I57" i="9"/>
  <c r="I58" i="9"/>
  <c r="I59" i="9"/>
  <c r="I60" i="9"/>
  <c r="I61" i="9"/>
  <c r="I62" i="9"/>
  <c r="I63" i="9"/>
  <c r="I64" i="9"/>
  <c r="I65" i="9"/>
  <c r="I56" i="9"/>
  <c r="K57" i="1" a="1"/>
  <c r="K57" i="1" s="1"/>
  <c r="Q119" i="1" s="1" a="1"/>
  <c r="Q119" i="1" s="1"/>
  <c r="C57" i="9"/>
  <c r="C58" i="9"/>
  <c r="C59" i="9"/>
  <c r="C60" i="9"/>
  <c r="C61" i="9"/>
  <c r="C62" i="9"/>
  <c r="C63" i="9"/>
  <c r="C64" i="9"/>
  <c r="C65" i="9"/>
  <c r="C56" i="9"/>
  <c r="B57" i="9"/>
  <c r="B58" i="9"/>
  <c r="B59" i="9"/>
  <c r="B60" i="9"/>
  <c r="B61" i="9"/>
  <c r="B62" i="9"/>
  <c r="B63" i="9"/>
  <c r="B64" i="9"/>
  <c r="B65" i="9"/>
  <c r="B56" i="9"/>
  <c r="I50" i="9"/>
  <c r="I32" i="9"/>
  <c r="I33" i="9"/>
  <c r="I34" i="9"/>
  <c r="I35" i="9"/>
  <c r="I36" i="9"/>
  <c r="I37" i="9"/>
  <c r="I38" i="9"/>
  <c r="I39" i="9"/>
  <c r="I40" i="9"/>
  <c r="I41" i="9"/>
  <c r="I42" i="9"/>
  <c r="I43" i="9"/>
  <c r="I44" i="9"/>
  <c r="I45" i="9"/>
  <c r="I46" i="9"/>
  <c r="I47" i="9"/>
  <c r="I48" i="9"/>
  <c r="I49" i="9"/>
  <c r="I31" i="9"/>
  <c r="B32" i="9"/>
  <c r="B33" i="9"/>
  <c r="B34" i="9"/>
  <c r="B35" i="9"/>
  <c r="B36" i="9"/>
  <c r="B37" i="9"/>
  <c r="B38" i="9"/>
  <c r="B39" i="9"/>
  <c r="B40" i="9"/>
  <c r="B41" i="9"/>
  <c r="B42" i="9"/>
  <c r="B43" i="9"/>
  <c r="B44" i="9"/>
  <c r="B45" i="9"/>
  <c r="B46" i="9"/>
  <c r="B47" i="9"/>
  <c r="B48" i="9"/>
  <c r="B49" i="9"/>
  <c r="B50" i="9"/>
  <c r="B31" i="9"/>
  <c r="B7" i="9"/>
  <c r="B8" i="9"/>
  <c r="B9" i="9"/>
  <c r="B10" i="9"/>
  <c r="B11" i="9"/>
  <c r="B12" i="9"/>
  <c r="B13" i="9"/>
  <c r="B14" i="9"/>
  <c r="B15" i="9"/>
  <c r="B16" i="9"/>
  <c r="B17" i="9"/>
  <c r="B18" i="9"/>
  <c r="B19" i="9"/>
  <c r="B20" i="9"/>
  <c r="B21" i="9"/>
  <c r="B22" i="9"/>
  <c r="B23" i="9"/>
  <c r="B24" i="9"/>
  <c r="B25" i="9"/>
  <c r="B6" i="9"/>
  <c r="I7" i="9"/>
  <c r="I8" i="9"/>
  <c r="I9" i="9"/>
  <c r="I10" i="9"/>
  <c r="I11" i="9"/>
  <c r="I12" i="9"/>
  <c r="I13" i="9"/>
  <c r="I14" i="9"/>
  <c r="I15" i="9"/>
  <c r="I16" i="9"/>
  <c r="I17" i="9"/>
  <c r="I18" i="9"/>
  <c r="I19" i="9"/>
  <c r="I20" i="9"/>
  <c r="I21" i="9"/>
  <c r="I22" i="9"/>
  <c r="I23" i="9"/>
  <c r="I24" i="9"/>
  <c r="I25" i="9"/>
  <c r="I6" i="9"/>
  <c r="AG211" i="1" l="1" a="1"/>
  <c r="AG211" i="1" s="1"/>
  <c r="F211" i="1" a="1"/>
  <c r="F211" i="1" s="1"/>
  <c r="V198" i="1" l="1"/>
  <c r="Y179" i="1"/>
  <c r="Y191" i="1"/>
  <c r="Y190" i="1"/>
  <c r="U25" i="6"/>
  <c r="P25" i="6"/>
  <c r="K25" i="6"/>
  <c r="U24" i="6"/>
  <c r="P24" i="6"/>
  <c r="K24" i="6"/>
  <c r="U23" i="6"/>
  <c r="P23" i="6"/>
  <c r="K23" i="6"/>
  <c r="U22" i="6"/>
  <c r="P22" i="6"/>
  <c r="K22" i="6"/>
  <c r="U19" i="6"/>
  <c r="P19" i="6"/>
  <c r="K19" i="6"/>
  <c r="U18" i="6"/>
  <c r="P18" i="6"/>
  <c r="K18" i="6"/>
  <c r="B118" i="1"/>
  <c r="B141" i="1" s="1"/>
  <c r="B117" i="1"/>
  <c r="B140" i="1" s="1"/>
  <c r="T179" i="1" l="1"/>
  <c r="Y165" i="1"/>
  <c r="Y162" i="1"/>
  <c r="T165" i="1"/>
  <c r="T162" i="1"/>
  <c r="T168" i="1" l="1"/>
  <c r="K66" i="1"/>
  <c r="K65" i="1" a="1"/>
  <c r="K65" i="1" s="1"/>
  <c r="Q135" i="1" s="1" a="1"/>
  <c r="Q135" i="1" s="1"/>
  <c r="K64" i="1"/>
  <c r="K63" i="1" a="1"/>
  <c r="K63" i="1" s="1"/>
  <c r="Q131" i="1" s="1" a="1"/>
  <c r="Q131" i="1" s="1"/>
  <c r="K62" i="1"/>
  <c r="K61" i="1" a="1"/>
  <c r="K61" i="1" s="1"/>
  <c r="K60" i="1"/>
  <c r="K59" i="1" a="1"/>
  <c r="K59" i="1" s="1"/>
  <c r="Q123" i="1" s="1" a="1"/>
  <c r="Q123" i="1" s="1"/>
  <c r="M62" i="1"/>
  <c r="M61" i="1" a="1"/>
  <c r="M61" i="1" s="1"/>
  <c r="M60" i="1"/>
  <c r="M59" i="1" a="1"/>
  <c r="M59" i="1" s="1"/>
  <c r="S123" i="1" s="1" a="1"/>
  <c r="S123" i="1" s="1"/>
  <c r="M58" i="1"/>
  <c r="M57" i="1" a="1"/>
  <c r="M57" i="1" s="1"/>
  <c r="S119" i="1" s="1" a="1"/>
  <c r="S119" i="1" s="1"/>
  <c r="L57" i="1" l="1" a="1"/>
  <c r="L57" i="1" s="1"/>
  <c r="R119" i="1" s="1" a="1"/>
  <c r="R119" i="1" s="1"/>
  <c r="K58" i="1"/>
  <c r="L58" i="1"/>
  <c r="L59" i="1" a="1"/>
  <c r="L59" i="1" s="1"/>
  <c r="R123" i="1" s="1" a="1"/>
  <c r="R123" i="1" s="1"/>
  <c r="L60" i="1"/>
  <c r="L61" i="1" a="1"/>
  <c r="L61" i="1" s="1"/>
  <c r="L62" i="1"/>
  <c r="L63" i="1" a="1"/>
  <c r="L63" i="1" s="1"/>
  <c r="R131" i="1" s="1" a="1"/>
  <c r="R131" i="1" s="1"/>
  <c r="M63" i="1" a="1"/>
  <c r="M63" i="1" s="1"/>
  <c r="S131" i="1" s="1" a="1"/>
  <c r="S131" i="1" s="1"/>
  <c r="L64" i="1"/>
  <c r="M64" i="1"/>
  <c r="L65" i="1" a="1"/>
  <c r="L65" i="1" s="1"/>
  <c r="R135" i="1" s="1" a="1"/>
  <c r="R135" i="1" s="1"/>
  <c r="M65" i="1" a="1"/>
  <c r="M65" i="1" s="1"/>
  <c r="S135" i="1" s="1" a="1"/>
  <c r="S135" i="1" s="1"/>
  <c r="L66" i="1"/>
  <c r="M66" i="1"/>
  <c r="V206" i="1"/>
  <c r="Q206" i="1"/>
  <c r="Y205" i="1"/>
  <c r="T205" i="1"/>
  <c r="V204" i="1"/>
  <c r="W204" i="1" s="1"/>
  <c r="Q204" i="1"/>
  <c r="R204" i="1" s="1"/>
  <c r="Y203" i="1"/>
  <c r="T203" i="1"/>
  <c r="V202" i="1"/>
  <c r="W202" i="1" s="1"/>
  <c r="X202" i="1" s="1"/>
  <c r="Q202" i="1"/>
  <c r="R202" i="1" s="1"/>
  <c r="Y201" i="1"/>
  <c r="T201" i="1"/>
  <c r="V200" i="1"/>
  <c r="W200" i="1" s="1"/>
  <c r="X200" i="1" s="1"/>
  <c r="Q200" i="1"/>
  <c r="Y199" i="1"/>
  <c r="T199" i="1"/>
  <c r="Q198" i="1"/>
  <c r="R198" i="1" s="1"/>
  <c r="S198" i="1" s="1" a="1"/>
  <c r="S198" i="1" s="1"/>
  <c r="Y197" i="1"/>
  <c r="T197" i="1"/>
  <c r="X195" i="1"/>
  <c r="W195" i="1"/>
  <c r="V195" i="1"/>
  <c r="S195" i="1"/>
  <c r="R195" i="1"/>
  <c r="Q195" i="1"/>
  <c r="Y194" i="1"/>
  <c r="T194" i="1"/>
  <c r="Y193" i="1"/>
  <c r="T193" i="1"/>
  <c r="Y192" i="1"/>
  <c r="T192" i="1"/>
  <c r="T191" i="1"/>
  <c r="T190" i="1"/>
  <c r="Y189" i="1"/>
  <c r="T189" i="1"/>
  <c r="Y188" i="1"/>
  <c r="T188" i="1"/>
  <c r="Y187" i="1"/>
  <c r="T187" i="1"/>
  <c r="Y186" i="1"/>
  <c r="T186" i="1"/>
  <c r="Y185" i="1"/>
  <c r="T185" i="1"/>
  <c r="Y184" i="1"/>
  <c r="T184" i="1"/>
  <c r="U179" i="1"/>
  <c r="S175" i="1"/>
  <c r="R175" i="1"/>
  <c r="Q175" i="1"/>
  <c r="S174" i="1"/>
  <c r="R174" i="1"/>
  <c r="Q174" i="1"/>
  <c r="S173" i="1"/>
  <c r="R173" i="1"/>
  <c r="Q173" i="1"/>
  <c r="S172" i="1"/>
  <c r="R172" i="1"/>
  <c r="Q172" i="1"/>
  <c r="S171" i="1"/>
  <c r="R171" i="1"/>
  <c r="Q171" i="1"/>
  <c r="X168" i="1"/>
  <c r="W168" i="1"/>
  <c r="V168" i="1"/>
  <c r="S168" i="1"/>
  <c r="R168" i="1"/>
  <c r="Q168" i="1"/>
  <c r="U165" i="1"/>
  <c r="U162" i="1"/>
  <c r="X159" i="1"/>
  <c r="W159" i="1"/>
  <c r="V159" i="1"/>
  <c r="S159" i="1"/>
  <c r="U16" i="6" s="1"/>
  <c r="R159" i="1"/>
  <c r="P16" i="6" s="1"/>
  <c r="Q159" i="1"/>
  <c r="K16" i="6" s="1"/>
  <c r="Y158" i="1"/>
  <c r="T158" i="1"/>
  <c r="Y157" i="1"/>
  <c r="T157" i="1"/>
  <c r="Y156" i="1"/>
  <c r="T156" i="1"/>
  <c r="Y155" i="1"/>
  <c r="T155" i="1"/>
  <c r="Y154" i="1"/>
  <c r="T154" i="1"/>
  <c r="AH149" i="1"/>
  <c r="AG149" i="1"/>
  <c r="AF149" i="1"/>
  <c r="D149" i="1"/>
  <c r="C149" i="1"/>
  <c r="B149" i="1"/>
  <c r="AH148" i="1"/>
  <c r="AG148" i="1"/>
  <c r="AF148" i="1"/>
  <c r="D148" i="1"/>
  <c r="C148" i="1"/>
  <c r="B148" i="1"/>
  <c r="AH147" i="1"/>
  <c r="AG147" i="1"/>
  <c r="AF147" i="1"/>
  <c r="D147" i="1"/>
  <c r="C147" i="1"/>
  <c r="B147" i="1"/>
  <c r="AH146" i="1"/>
  <c r="AG146" i="1"/>
  <c r="AF146" i="1"/>
  <c r="D146" i="1"/>
  <c r="C146" i="1"/>
  <c r="B146" i="1"/>
  <c r="AH145" i="1"/>
  <c r="AG145" i="1"/>
  <c r="AF145" i="1"/>
  <c r="D145" i="1"/>
  <c r="C145" i="1"/>
  <c r="B145" i="1"/>
  <c r="AH144" i="1"/>
  <c r="AG144" i="1"/>
  <c r="AF144" i="1"/>
  <c r="D144" i="1"/>
  <c r="C144" i="1"/>
  <c r="B144" i="1"/>
  <c r="AH143" i="1"/>
  <c r="AG143" i="1"/>
  <c r="AF143" i="1"/>
  <c r="D143" i="1"/>
  <c r="C143" i="1"/>
  <c r="B143" i="1"/>
  <c r="AH142" i="1"/>
  <c r="AG142" i="1"/>
  <c r="AF142" i="1"/>
  <c r="D142" i="1"/>
  <c r="C142" i="1"/>
  <c r="B142" i="1"/>
  <c r="AH141" i="1"/>
  <c r="AG141" i="1"/>
  <c r="AF141" i="1"/>
  <c r="D141" i="1"/>
  <c r="C141" i="1"/>
  <c r="AH140" i="1"/>
  <c r="AG140" i="1"/>
  <c r="AF140" i="1"/>
  <c r="D140" i="1"/>
  <c r="C140" i="1"/>
  <c r="Y136" i="1"/>
  <c r="T136" i="1"/>
  <c r="AH134" i="1"/>
  <c r="AG134" i="1"/>
  <c r="AF134" i="1"/>
  <c r="D134" i="1"/>
  <c r="C134" i="1"/>
  <c r="B134" i="1"/>
  <c r="AH133" i="1"/>
  <c r="AG133" i="1"/>
  <c r="AF133" i="1"/>
  <c r="D133" i="1"/>
  <c r="C133" i="1"/>
  <c r="B133" i="1"/>
  <c r="Y132" i="1"/>
  <c r="T132" i="1"/>
  <c r="AH130" i="1"/>
  <c r="AG130" i="1"/>
  <c r="AF130" i="1"/>
  <c r="D130" i="1"/>
  <c r="C130" i="1"/>
  <c r="B130" i="1"/>
  <c r="AH129" i="1"/>
  <c r="AG129" i="1"/>
  <c r="AF129" i="1"/>
  <c r="D129" i="1"/>
  <c r="C129" i="1"/>
  <c r="B129" i="1"/>
  <c r="Y128" i="1"/>
  <c r="T128" i="1"/>
  <c r="AH126" i="1"/>
  <c r="AG126" i="1"/>
  <c r="AF126" i="1"/>
  <c r="D126" i="1"/>
  <c r="C126" i="1"/>
  <c r="B126" i="1"/>
  <c r="AH125" i="1"/>
  <c r="AG125" i="1"/>
  <c r="AF125" i="1"/>
  <c r="D125" i="1"/>
  <c r="Q127" i="1" s="1" a="1"/>
  <c r="Q127" i="1" s="1"/>
  <c r="C125" i="1"/>
  <c r="B125" i="1"/>
  <c r="Y124" i="1"/>
  <c r="T124" i="1"/>
  <c r="AH122" i="1"/>
  <c r="AG122" i="1"/>
  <c r="AF122" i="1"/>
  <c r="D122" i="1"/>
  <c r="C122" i="1"/>
  <c r="B122" i="1"/>
  <c r="AH121" i="1"/>
  <c r="AG121" i="1"/>
  <c r="AF121" i="1"/>
  <c r="D121" i="1"/>
  <c r="C121" i="1"/>
  <c r="B121" i="1"/>
  <c r="Y120" i="1"/>
  <c r="T120" i="1"/>
  <c r="AH118" i="1"/>
  <c r="AG118" i="1"/>
  <c r="AF118" i="1"/>
  <c r="D118" i="1"/>
  <c r="C118" i="1"/>
  <c r="AH117" i="1"/>
  <c r="AG117" i="1"/>
  <c r="AF117" i="1"/>
  <c r="D117" i="1"/>
  <c r="C117" i="1"/>
  <c r="AG113" i="1"/>
  <c r="AF113" i="1"/>
  <c r="C113" i="1"/>
  <c r="B113" i="1"/>
  <c r="AG112" i="1"/>
  <c r="AF112" i="1"/>
  <c r="C112" i="1"/>
  <c r="B112" i="1"/>
  <c r="AG111" i="1"/>
  <c r="AF111" i="1"/>
  <c r="C111" i="1"/>
  <c r="B111" i="1"/>
  <c r="AG110" i="1"/>
  <c r="AF110" i="1"/>
  <c r="C110" i="1"/>
  <c r="B110" i="1"/>
  <c r="AG109" i="1"/>
  <c r="AF109" i="1"/>
  <c r="C109" i="1"/>
  <c r="B109" i="1"/>
  <c r="AG108" i="1"/>
  <c r="AF108" i="1"/>
  <c r="C108" i="1"/>
  <c r="B108" i="1"/>
  <c r="AG107" i="1"/>
  <c r="AF107" i="1"/>
  <c r="C107" i="1"/>
  <c r="B107" i="1"/>
  <c r="AG106" i="1"/>
  <c r="AF106" i="1"/>
  <c r="C106" i="1"/>
  <c r="B106" i="1"/>
  <c r="AG105" i="1"/>
  <c r="AF105" i="1"/>
  <c r="C105" i="1"/>
  <c r="B105" i="1"/>
  <c r="AG104" i="1"/>
  <c r="AF104" i="1"/>
  <c r="C104" i="1"/>
  <c r="B104" i="1"/>
  <c r="AG103" i="1"/>
  <c r="AF103" i="1"/>
  <c r="C103" i="1"/>
  <c r="B103" i="1"/>
  <c r="AG102" i="1"/>
  <c r="AF102" i="1"/>
  <c r="C102" i="1"/>
  <c r="B102" i="1"/>
  <c r="AG101" i="1"/>
  <c r="AF101" i="1"/>
  <c r="C101" i="1"/>
  <c r="B101" i="1"/>
  <c r="AG100" i="1"/>
  <c r="AF100" i="1"/>
  <c r="C100" i="1"/>
  <c r="B100" i="1"/>
  <c r="AG99" i="1"/>
  <c r="AF99" i="1"/>
  <c r="C99" i="1"/>
  <c r="B99" i="1"/>
  <c r="AG98" i="1"/>
  <c r="AF98" i="1"/>
  <c r="C98" i="1"/>
  <c r="B98" i="1"/>
  <c r="AG97" i="1"/>
  <c r="AF97" i="1"/>
  <c r="C97" i="1"/>
  <c r="B97" i="1"/>
  <c r="AG96" i="1"/>
  <c r="AF96" i="1"/>
  <c r="C96" i="1"/>
  <c r="B96" i="1"/>
  <c r="AG95" i="1"/>
  <c r="AF95" i="1"/>
  <c r="C95" i="1"/>
  <c r="B95" i="1"/>
  <c r="AG94" i="1"/>
  <c r="AF94" i="1"/>
  <c r="C94" i="1"/>
  <c r="B94" i="1"/>
  <c r="AH90" i="1"/>
  <c r="AF90" i="1"/>
  <c r="D90" i="1"/>
  <c r="B90" i="1"/>
  <c r="AH89" i="1"/>
  <c r="AF89" i="1"/>
  <c r="D89" i="1"/>
  <c r="B89" i="1"/>
  <c r="AH88" i="1"/>
  <c r="AF88" i="1"/>
  <c r="D88" i="1"/>
  <c r="B88" i="1"/>
  <c r="AH87" i="1"/>
  <c r="AF87" i="1"/>
  <c r="D87" i="1"/>
  <c r="B87" i="1"/>
  <c r="AH86" i="1"/>
  <c r="AF86" i="1"/>
  <c r="D86" i="1"/>
  <c r="B86" i="1"/>
  <c r="AH85" i="1"/>
  <c r="AF85" i="1"/>
  <c r="D85" i="1"/>
  <c r="B85" i="1"/>
  <c r="AH84" i="1"/>
  <c r="AF84" i="1"/>
  <c r="D84" i="1"/>
  <c r="B84" i="1"/>
  <c r="AH83" i="1"/>
  <c r="AF83" i="1"/>
  <c r="D83" i="1"/>
  <c r="B83" i="1"/>
  <c r="AH82" i="1"/>
  <c r="AF82" i="1"/>
  <c r="D82" i="1"/>
  <c r="B82" i="1"/>
  <c r="AH81" i="1"/>
  <c r="AF81" i="1"/>
  <c r="D81" i="1"/>
  <c r="B81" i="1"/>
  <c r="AH80" i="1"/>
  <c r="AF80" i="1"/>
  <c r="D80" i="1"/>
  <c r="B80" i="1"/>
  <c r="AH79" i="1"/>
  <c r="AF79" i="1"/>
  <c r="D79" i="1"/>
  <c r="B79" i="1"/>
  <c r="AH78" i="1"/>
  <c r="AF78" i="1"/>
  <c r="D78" i="1"/>
  <c r="B78" i="1"/>
  <c r="AH77" i="1"/>
  <c r="AF77" i="1"/>
  <c r="D77" i="1"/>
  <c r="B77" i="1"/>
  <c r="AH76" i="1"/>
  <c r="AF76" i="1"/>
  <c r="D76" i="1"/>
  <c r="B76" i="1"/>
  <c r="AH75" i="1"/>
  <c r="AF75" i="1"/>
  <c r="D75" i="1"/>
  <c r="B75" i="1"/>
  <c r="AH74" i="1"/>
  <c r="AF74" i="1"/>
  <c r="D74" i="1"/>
  <c r="B74" i="1"/>
  <c r="AH73" i="1"/>
  <c r="AF73" i="1"/>
  <c r="D73" i="1"/>
  <c r="B73" i="1"/>
  <c r="AH72" i="1"/>
  <c r="AF72" i="1"/>
  <c r="D72" i="1"/>
  <c r="B72" i="1"/>
  <c r="AH71" i="1"/>
  <c r="AF71" i="1"/>
  <c r="D71" i="1"/>
  <c r="B71" i="1"/>
  <c r="AN66" i="1"/>
  <c r="AM66" i="1"/>
  <c r="AL66" i="1"/>
  <c r="X66" i="1"/>
  <c r="W66" i="1"/>
  <c r="V66" i="1"/>
  <c r="S66" i="1"/>
  <c r="R66" i="1"/>
  <c r="Q66" i="1"/>
  <c r="AN65" i="1" a="1"/>
  <c r="AN65" i="1" s="1"/>
  <c r="X135" i="1" s="1" a="1"/>
  <c r="X135" i="1" s="1"/>
  <c r="AM65" i="1" a="1"/>
  <c r="AM65" i="1" s="1"/>
  <c r="W135" i="1" s="1" a="1"/>
  <c r="W135" i="1" s="1"/>
  <c r="AL65" i="1" a="1"/>
  <c r="AL65" i="1" s="1"/>
  <c r="V135" i="1" s="1" a="1"/>
  <c r="V135" i="1" s="1"/>
  <c r="X65" i="1" a="1"/>
  <c r="X65" i="1" s="1"/>
  <c r="W65" i="1" a="1"/>
  <c r="W65" i="1" s="1"/>
  <c r="S65" i="1" a="1"/>
  <c r="S65" i="1" s="1"/>
  <c r="R65" i="1" a="1"/>
  <c r="R65" i="1" s="1"/>
  <c r="Q65" i="1" a="1"/>
  <c r="Q65" i="1" s="1"/>
  <c r="AN64" i="1"/>
  <c r="AM64" i="1"/>
  <c r="AL64" i="1"/>
  <c r="X64" i="1"/>
  <c r="W64" i="1"/>
  <c r="V64" i="1"/>
  <c r="S64" i="1"/>
  <c r="R64" i="1"/>
  <c r="Q64" i="1"/>
  <c r="AN63" i="1" a="1"/>
  <c r="AN63" i="1" s="1"/>
  <c r="X131" i="1" s="1" a="1"/>
  <c r="X131" i="1" s="1"/>
  <c r="AM63" i="1" a="1"/>
  <c r="AM63" i="1" s="1"/>
  <c r="W131" i="1" s="1" a="1"/>
  <c r="W131" i="1" s="1"/>
  <c r="AL63" i="1" a="1"/>
  <c r="AL63" i="1" s="1"/>
  <c r="V131" i="1" s="1" a="1"/>
  <c r="V131" i="1" s="1"/>
  <c r="X63" i="1" a="1"/>
  <c r="X63" i="1" s="1"/>
  <c r="W63" i="1" a="1"/>
  <c r="W63" i="1" s="1"/>
  <c r="V63" i="1" a="1"/>
  <c r="V63" i="1" s="1"/>
  <c r="S63" i="1" a="1"/>
  <c r="S63" i="1" s="1"/>
  <c r="R63" i="1" a="1"/>
  <c r="R63" i="1" s="1"/>
  <c r="Q63" i="1" a="1"/>
  <c r="Q63" i="1" s="1"/>
  <c r="AN62" i="1"/>
  <c r="AM62" i="1"/>
  <c r="AL62" i="1"/>
  <c r="X62" i="1"/>
  <c r="W62" i="1"/>
  <c r="V62" i="1"/>
  <c r="S62" i="1"/>
  <c r="R62" i="1"/>
  <c r="Q62" i="1"/>
  <c r="AN61" i="1" a="1"/>
  <c r="AN61" i="1" s="1"/>
  <c r="X127" i="1" s="1" a="1"/>
  <c r="X127" i="1" s="1"/>
  <c r="AM61" i="1" a="1"/>
  <c r="AM61" i="1" s="1"/>
  <c r="W127" i="1" s="1" a="1"/>
  <c r="W127" i="1" s="1"/>
  <c r="AL61" i="1" a="1"/>
  <c r="AL61" i="1" s="1"/>
  <c r="V127" i="1" s="1" a="1"/>
  <c r="V127" i="1" s="1"/>
  <c r="X61" i="1" a="1"/>
  <c r="X61" i="1" s="1"/>
  <c r="W61" i="1" a="1"/>
  <c r="W61" i="1" s="1"/>
  <c r="V61" i="1" a="1"/>
  <c r="V61" i="1" s="1"/>
  <c r="S61" i="1" a="1"/>
  <c r="S61" i="1" s="1"/>
  <c r="R61" i="1" a="1"/>
  <c r="R61" i="1" s="1"/>
  <c r="Q61" i="1" a="1"/>
  <c r="Q61" i="1" s="1"/>
  <c r="AN60" i="1"/>
  <c r="AM60" i="1"/>
  <c r="AL60" i="1"/>
  <c r="X60" i="1"/>
  <c r="W60" i="1"/>
  <c r="V60" i="1"/>
  <c r="S60" i="1"/>
  <c r="R60" i="1"/>
  <c r="Q60" i="1"/>
  <c r="AN59" i="1" a="1"/>
  <c r="AN59" i="1" s="1"/>
  <c r="X123" i="1" s="1" a="1"/>
  <c r="X123" i="1" s="1"/>
  <c r="AM59" i="1" a="1"/>
  <c r="AM59" i="1" s="1"/>
  <c r="W123" i="1" s="1" a="1"/>
  <c r="W123" i="1" s="1"/>
  <c r="AL59" i="1" a="1"/>
  <c r="AL59" i="1" s="1"/>
  <c r="V123" i="1" s="1" a="1"/>
  <c r="V123" i="1" s="1"/>
  <c r="X59" i="1" a="1"/>
  <c r="X59" i="1" s="1"/>
  <c r="W59" i="1" a="1"/>
  <c r="W59" i="1" s="1"/>
  <c r="S59" i="1" a="1"/>
  <c r="S59" i="1" s="1"/>
  <c r="R59" i="1" a="1"/>
  <c r="R59" i="1" s="1"/>
  <c r="Q59" i="1" a="1"/>
  <c r="Q59" i="1" s="1"/>
  <c r="AN58" i="1"/>
  <c r="AM58" i="1"/>
  <c r="AL58" i="1"/>
  <c r="X58" i="1"/>
  <c r="W58" i="1"/>
  <c r="V58" i="1"/>
  <c r="S58" i="1"/>
  <c r="R58" i="1"/>
  <c r="Q58" i="1"/>
  <c r="AN57" i="1" a="1"/>
  <c r="AN57" i="1" s="1"/>
  <c r="X119" i="1" s="1" a="1"/>
  <c r="X119" i="1" s="1"/>
  <c r="AM57" i="1" a="1"/>
  <c r="AM57" i="1" s="1"/>
  <c r="W119" i="1" s="1" a="1"/>
  <c r="W119" i="1" s="1"/>
  <c r="AL57" i="1" a="1"/>
  <c r="AL57" i="1" s="1"/>
  <c r="V119" i="1" s="1" a="1"/>
  <c r="V119" i="1" s="1"/>
  <c r="X57" i="1" a="1"/>
  <c r="X57" i="1" s="1"/>
  <c r="W57" i="1" a="1"/>
  <c r="W57" i="1" s="1"/>
  <c r="S57" i="1" a="1"/>
  <c r="S57" i="1" s="1"/>
  <c r="R57" i="1" a="1"/>
  <c r="R57" i="1" s="1"/>
  <c r="Q57" i="1" a="1"/>
  <c r="Q57" i="1" s="1"/>
  <c r="AJ53" i="1"/>
  <c r="F53" i="1"/>
  <c r="AJ52" i="1"/>
  <c r="X52" i="1" s="1"/>
  <c r="X112" i="1" s="1"/>
  <c r="M49" i="9" s="1"/>
  <c r="F52" i="1"/>
  <c r="S52" i="1" s="1"/>
  <c r="S112" i="1" s="1"/>
  <c r="AJ51" i="1"/>
  <c r="X51" i="1" s="1"/>
  <c r="X111" i="1" s="1"/>
  <c r="M48" i="9" s="1"/>
  <c r="F51" i="1"/>
  <c r="R51" i="1" s="1"/>
  <c r="R111" i="1" s="1"/>
  <c r="AJ50" i="1"/>
  <c r="W50" i="1" s="1"/>
  <c r="W110" i="1" s="1"/>
  <c r="L47" i="9" s="1"/>
  <c r="F50" i="1"/>
  <c r="AJ49" i="1"/>
  <c r="V49" i="1" s="1"/>
  <c r="F49" i="1"/>
  <c r="R49" i="1" s="1"/>
  <c r="R109" i="1" s="1"/>
  <c r="AJ48" i="1"/>
  <c r="X48" i="1" s="1"/>
  <c r="X108" i="1" s="1"/>
  <c r="M45" i="9" s="1"/>
  <c r="F48" i="1"/>
  <c r="AJ47" i="1"/>
  <c r="F47" i="1"/>
  <c r="AJ46" i="1"/>
  <c r="F46" i="1"/>
  <c r="AJ45" i="1"/>
  <c r="F45" i="1"/>
  <c r="AJ44" i="1"/>
  <c r="F44" i="1"/>
  <c r="S44" i="1" s="1"/>
  <c r="S104" i="1" s="1"/>
  <c r="AJ43" i="1"/>
  <c r="X43" i="1" s="1"/>
  <c r="F43" i="1"/>
  <c r="R43" i="1" s="1"/>
  <c r="R103" i="1" s="1"/>
  <c r="AJ42" i="1"/>
  <c r="W42" i="1" s="1"/>
  <c r="F42" i="1"/>
  <c r="AJ41" i="1"/>
  <c r="V41" i="1" s="1"/>
  <c r="F41" i="1"/>
  <c r="AJ40" i="1"/>
  <c r="F40" i="1"/>
  <c r="Q40" i="1" s="1"/>
  <c r="Q100" i="1" s="1"/>
  <c r="AJ39" i="1"/>
  <c r="F39" i="1"/>
  <c r="R39" i="1" s="1"/>
  <c r="R99" i="1" s="1"/>
  <c r="AJ38" i="1"/>
  <c r="F38" i="1"/>
  <c r="AJ37" i="1"/>
  <c r="F37" i="1"/>
  <c r="AJ36" i="1"/>
  <c r="F36" i="1"/>
  <c r="AJ35" i="1"/>
  <c r="F35" i="1"/>
  <c r="R35" i="1" s="1"/>
  <c r="R95" i="1" s="1"/>
  <c r="AJ34" i="1"/>
  <c r="F34" i="1"/>
  <c r="X30" i="1"/>
  <c r="X90" i="1" s="1"/>
  <c r="M25" i="9" s="1"/>
  <c r="W30" i="1"/>
  <c r="W90" i="1" s="1"/>
  <c r="L25" i="9" s="1"/>
  <c r="V30" i="1"/>
  <c r="V90" i="1" s="1"/>
  <c r="K25" i="9" s="1"/>
  <c r="S30" i="1"/>
  <c r="R30" i="1"/>
  <c r="Q30" i="1"/>
  <c r="O30" i="1"/>
  <c r="X29" i="1"/>
  <c r="X89" i="1" s="1"/>
  <c r="M24" i="9" s="1"/>
  <c r="W29" i="1"/>
  <c r="W89" i="1" s="1"/>
  <c r="L24" i="9" s="1"/>
  <c r="V29" i="1"/>
  <c r="V89" i="1" s="1"/>
  <c r="K24" i="9" s="1"/>
  <c r="S29" i="1"/>
  <c r="R29" i="1"/>
  <c r="Q29" i="1"/>
  <c r="X28" i="1"/>
  <c r="X88" i="1" s="1"/>
  <c r="M23" i="9" s="1"/>
  <c r="W28" i="1"/>
  <c r="W88" i="1" s="1"/>
  <c r="L23" i="9" s="1"/>
  <c r="V28" i="1"/>
  <c r="S28" i="1"/>
  <c r="R28" i="1"/>
  <c r="Q28" i="1"/>
  <c r="X27" i="1"/>
  <c r="X87" i="1" s="1"/>
  <c r="M22" i="9" s="1"/>
  <c r="W27" i="1"/>
  <c r="W87" i="1" s="1"/>
  <c r="L22" i="9" s="1"/>
  <c r="V27" i="1"/>
  <c r="V87" i="1" s="1"/>
  <c r="K22" i="9" s="1"/>
  <c r="S27" i="1"/>
  <c r="R27" i="1"/>
  <c r="Q27" i="1"/>
  <c r="X26" i="1"/>
  <c r="X86" i="1" s="1"/>
  <c r="M21" i="9" s="1"/>
  <c r="W26" i="1"/>
  <c r="W86" i="1" s="1"/>
  <c r="L21" i="9" s="1"/>
  <c r="V26" i="1"/>
  <c r="V86" i="1" s="1"/>
  <c r="K21" i="9" s="1"/>
  <c r="S26" i="1"/>
  <c r="R26" i="1"/>
  <c r="Q26" i="1"/>
  <c r="N26" i="1" a="1"/>
  <c r="N26" i="1" s="1"/>
  <c r="X25" i="1"/>
  <c r="X85" i="1" s="1"/>
  <c r="M20" i="9" s="1"/>
  <c r="W25" i="1"/>
  <c r="V25" i="1"/>
  <c r="V85" i="1" s="1"/>
  <c r="K20" i="9" s="1"/>
  <c r="S25" i="1"/>
  <c r="R25" i="1"/>
  <c r="Q25" i="1"/>
  <c r="X24" i="1"/>
  <c r="X84" i="1" s="1"/>
  <c r="M19" i="9" s="1"/>
  <c r="W24" i="1"/>
  <c r="W84" i="1" s="1"/>
  <c r="L19" i="9" s="1"/>
  <c r="V24" i="1"/>
  <c r="V84" i="1" s="1"/>
  <c r="K19" i="9" s="1"/>
  <c r="S24" i="1"/>
  <c r="R24" i="1"/>
  <c r="Q24" i="1"/>
  <c r="X23" i="1"/>
  <c r="W23" i="1"/>
  <c r="W83" i="1" s="1"/>
  <c r="L18" i="9" s="1"/>
  <c r="V23" i="1"/>
  <c r="V83" i="1" s="1"/>
  <c r="K18" i="9" s="1"/>
  <c r="S23" i="1"/>
  <c r="R23" i="1"/>
  <c r="Q23" i="1"/>
  <c r="X22" i="1"/>
  <c r="X82" i="1" s="1"/>
  <c r="M17" i="9" s="1"/>
  <c r="W22" i="1"/>
  <c r="W82" i="1" s="1"/>
  <c r="L17" i="9" s="1"/>
  <c r="V22" i="1"/>
  <c r="V82" i="1" s="1"/>
  <c r="K17" i="9" s="1"/>
  <c r="S22" i="1"/>
  <c r="R22" i="1"/>
  <c r="Q22" i="1"/>
  <c r="N22" i="1" a="1"/>
  <c r="N22" i="1" s="1"/>
  <c r="X21" i="1"/>
  <c r="X81" i="1" s="1"/>
  <c r="M16" i="9" s="1"/>
  <c r="W21" i="1"/>
  <c r="W81" i="1" s="1"/>
  <c r="L16" i="9" s="1"/>
  <c r="V21" i="1"/>
  <c r="V81" i="1" s="1"/>
  <c r="K16" i="9" s="1"/>
  <c r="S21" i="1"/>
  <c r="R21" i="1"/>
  <c r="Q21" i="1"/>
  <c r="X20" i="1"/>
  <c r="W20" i="1"/>
  <c r="V20" i="1"/>
  <c r="S20" i="1"/>
  <c r="R20" i="1"/>
  <c r="Q20" i="1"/>
  <c r="X19" i="1"/>
  <c r="W19" i="1"/>
  <c r="V19" i="1"/>
  <c r="S19" i="1"/>
  <c r="R19" i="1"/>
  <c r="Q19" i="1"/>
  <c r="X18" i="1"/>
  <c r="W18" i="1"/>
  <c r="V18" i="1"/>
  <c r="S18" i="1"/>
  <c r="R18" i="1"/>
  <c r="Q18" i="1"/>
  <c r="N18" i="1" a="1"/>
  <c r="N18" i="1" s="1"/>
  <c r="X17" i="1"/>
  <c r="W17" i="1"/>
  <c r="V17" i="1"/>
  <c r="S17" i="1"/>
  <c r="R17" i="1"/>
  <c r="Q17" i="1"/>
  <c r="X16" i="1"/>
  <c r="W16" i="1"/>
  <c r="V16" i="1"/>
  <c r="S16" i="1"/>
  <c r="R16" i="1"/>
  <c r="Q16" i="1"/>
  <c r="X15" i="1"/>
  <c r="W15" i="1"/>
  <c r="V15" i="1"/>
  <c r="S15" i="1"/>
  <c r="R15" i="1"/>
  <c r="Q15" i="1"/>
  <c r="X14" i="1"/>
  <c r="W14" i="1"/>
  <c r="V14" i="1"/>
  <c r="S14" i="1"/>
  <c r="R14" i="1"/>
  <c r="Q14" i="1"/>
  <c r="N14" i="1"/>
  <c r="X13" i="1"/>
  <c r="W13" i="1"/>
  <c r="V13" i="1"/>
  <c r="S13" i="1"/>
  <c r="R13" i="1"/>
  <c r="Q13" i="1"/>
  <c r="X12" i="1"/>
  <c r="W12" i="1"/>
  <c r="V12" i="1"/>
  <c r="S12" i="1"/>
  <c r="R12" i="1"/>
  <c r="Q12" i="1"/>
  <c r="X11" i="1"/>
  <c r="W11" i="1"/>
  <c r="V11" i="1"/>
  <c r="S11" i="1"/>
  <c r="R11" i="1"/>
  <c r="Q11" i="1"/>
  <c r="G5" i="1"/>
  <c r="E90" i="4"/>
  <c r="G86" i="4"/>
  <c r="F82" i="4" a="1"/>
  <c r="F82" i="4" s="1"/>
  <c r="F78" i="4" a="1"/>
  <c r="F78" i="4" s="1"/>
  <c r="F74" i="4" a="1"/>
  <c r="F74" i="4" s="1"/>
  <c r="F70" i="4"/>
  <c r="Y207" i="1" l="1"/>
  <c r="T131" i="1"/>
  <c r="X204" i="1"/>
  <c r="Y204" i="1" s="1"/>
  <c r="T195" i="1"/>
  <c r="T135" i="1"/>
  <c r="S127" i="1" a="1"/>
  <c r="S127" i="1" s="1"/>
  <c r="R127" i="1" a="1"/>
  <c r="R127" i="1" s="1"/>
  <c r="X126" i="1"/>
  <c r="M61" i="9" s="1"/>
  <c r="W129" i="1"/>
  <c r="L62" i="9" s="1"/>
  <c r="V130" i="1"/>
  <c r="K63" i="9" s="1"/>
  <c r="X129" i="1"/>
  <c r="M62" i="9" s="1"/>
  <c r="W130" i="1"/>
  <c r="L63" i="9" s="1"/>
  <c r="V134" i="1"/>
  <c r="K65" i="9" s="1"/>
  <c r="X130" i="1"/>
  <c r="M63" i="9" s="1"/>
  <c r="W134" i="1"/>
  <c r="L65" i="9" s="1"/>
  <c r="X122" i="1"/>
  <c r="M59" i="9" s="1"/>
  <c r="V118" i="1"/>
  <c r="K57" i="9" s="1"/>
  <c r="X134" i="1"/>
  <c r="M65" i="9" s="1"/>
  <c r="W118" i="1"/>
  <c r="L57" i="9" s="1"/>
  <c r="V122" i="1"/>
  <c r="K59" i="9" s="1"/>
  <c r="W126" i="1"/>
  <c r="L61" i="9" s="1"/>
  <c r="X118" i="1"/>
  <c r="M57" i="9" s="1"/>
  <c r="W122" i="1"/>
  <c r="L59" i="9" s="1"/>
  <c r="W133" i="1"/>
  <c r="L64" i="9" s="1"/>
  <c r="X133" i="1"/>
  <c r="M64" i="9" s="1"/>
  <c r="X125" i="1"/>
  <c r="M60" i="9" s="1"/>
  <c r="V125" i="1"/>
  <c r="K60" i="9" s="1"/>
  <c r="W125" i="1"/>
  <c r="X117" i="1"/>
  <c r="M56" i="9" s="1"/>
  <c r="V67" i="1"/>
  <c r="W121" i="1"/>
  <c r="L58" i="9" s="1"/>
  <c r="W67" i="1"/>
  <c r="X121" i="1"/>
  <c r="M58" i="9" s="1"/>
  <c r="X67" i="1"/>
  <c r="N22" i="9"/>
  <c r="N25" i="9"/>
  <c r="W102" i="1"/>
  <c r="L39" i="9" s="1"/>
  <c r="X103" i="1"/>
  <c r="M40" i="9" s="1"/>
  <c r="N24" i="9"/>
  <c r="V74" i="1"/>
  <c r="K9" i="9" s="1"/>
  <c r="W74" i="1"/>
  <c r="L9" i="9" s="1"/>
  <c r="X79" i="1"/>
  <c r="M14" i="9" s="1"/>
  <c r="W73" i="1"/>
  <c r="L8" i="9" s="1"/>
  <c r="V72" i="1"/>
  <c r="K7" i="9" s="1"/>
  <c r="W77" i="1"/>
  <c r="L12" i="9" s="1"/>
  <c r="X78" i="1"/>
  <c r="M13" i="9" s="1"/>
  <c r="N16" i="9"/>
  <c r="W79" i="1"/>
  <c r="W78" i="1"/>
  <c r="L13" i="9" s="1"/>
  <c r="W72" i="1"/>
  <c r="L7" i="9" s="1"/>
  <c r="V76" i="1"/>
  <c r="X77" i="1"/>
  <c r="M12" i="9" s="1"/>
  <c r="X75" i="1"/>
  <c r="M10" i="9" s="1"/>
  <c r="V77" i="1"/>
  <c r="K12" i="9" s="1"/>
  <c r="V80" i="1"/>
  <c r="K15" i="9" s="1"/>
  <c r="X74" i="1"/>
  <c r="M9" i="9" s="1"/>
  <c r="V75" i="1"/>
  <c r="K10" i="9" s="1"/>
  <c r="X76" i="1"/>
  <c r="M11" i="9" s="1"/>
  <c r="W80" i="1"/>
  <c r="V73" i="1"/>
  <c r="K8" i="9" s="1"/>
  <c r="V78" i="1"/>
  <c r="K13" i="9" s="1"/>
  <c r="X72" i="1"/>
  <c r="M7" i="9" s="1"/>
  <c r="W75" i="1"/>
  <c r="L10" i="9" s="1"/>
  <c r="X80" i="1"/>
  <c r="M15" i="9" s="1"/>
  <c r="N17" i="9"/>
  <c r="N21" i="9"/>
  <c r="N19" i="9"/>
  <c r="X83" i="1"/>
  <c r="M18" i="9" s="1"/>
  <c r="N18" i="9" s="1"/>
  <c r="X73" i="1"/>
  <c r="M8" i="9" s="1"/>
  <c r="V88" i="1"/>
  <c r="Y88" i="1" s="1"/>
  <c r="V79" i="1"/>
  <c r="K14" i="9" s="1"/>
  <c r="W85" i="1"/>
  <c r="Y85" i="1" s="1"/>
  <c r="L20" i="9"/>
  <c r="N20" i="9" s="1"/>
  <c r="W76" i="1"/>
  <c r="L11" i="9" s="1"/>
  <c r="Q134" i="1"/>
  <c r="D65" i="9" s="1"/>
  <c r="S117" i="1"/>
  <c r="F56" i="9" s="1"/>
  <c r="R118" i="1"/>
  <c r="E57" i="9" s="1"/>
  <c r="S133" i="1"/>
  <c r="F64" i="9" s="1"/>
  <c r="R134" i="1"/>
  <c r="E65" i="9" s="1"/>
  <c r="S118" i="1"/>
  <c r="F57" i="9" s="1"/>
  <c r="R121" i="1"/>
  <c r="E58" i="9" s="1"/>
  <c r="Q122" i="1"/>
  <c r="D59" i="9" s="1"/>
  <c r="S134" i="1"/>
  <c r="F65" i="9" s="1"/>
  <c r="S130" i="1"/>
  <c r="F63" i="9" s="1"/>
  <c r="S121" i="1"/>
  <c r="F58" i="9" s="1"/>
  <c r="R122" i="1"/>
  <c r="E59" i="9" s="1"/>
  <c r="R117" i="1"/>
  <c r="E56" i="9"/>
  <c r="S122" i="1"/>
  <c r="F59" i="9" s="1"/>
  <c r="R125" i="1"/>
  <c r="E60" i="9" s="1"/>
  <c r="R133" i="1"/>
  <c r="E64" i="9" s="1"/>
  <c r="S125" i="1"/>
  <c r="F60" i="9" s="1"/>
  <c r="R126" i="1"/>
  <c r="E61" i="9" s="1"/>
  <c r="S126" i="1"/>
  <c r="F61" i="9" s="1"/>
  <c r="R129" i="1"/>
  <c r="E62" i="9" s="1"/>
  <c r="Q130" i="1"/>
  <c r="D63" i="9" s="1"/>
  <c r="Q118" i="1"/>
  <c r="D57" i="9" s="1"/>
  <c r="S129" i="1"/>
  <c r="F62" i="9" s="1"/>
  <c r="R130" i="1"/>
  <c r="E63" i="9" s="1"/>
  <c r="Q81" i="1"/>
  <c r="D16" i="9" s="1"/>
  <c r="S74" i="1"/>
  <c r="Q82" i="1"/>
  <c r="D17" i="9" s="1"/>
  <c r="S78" i="1"/>
  <c r="Q86" i="1"/>
  <c r="R72" i="1"/>
  <c r="E32" i="9" s="1"/>
  <c r="R81" i="1"/>
  <c r="E16" i="9" s="1"/>
  <c r="Q85" i="1"/>
  <c r="Q71" i="1"/>
  <c r="Q80" i="1"/>
  <c r="S86" i="1"/>
  <c r="R90" i="1"/>
  <c r="R71" i="1"/>
  <c r="Q75" i="1"/>
  <c r="S76" i="1"/>
  <c r="F11" i="9" s="1"/>
  <c r="R80" i="1"/>
  <c r="E40" i="9" s="1"/>
  <c r="Q84" i="1"/>
  <c r="S85" i="1"/>
  <c r="S90" i="1"/>
  <c r="R73" i="1"/>
  <c r="Q77" i="1"/>
  <c r="D37" i="9" s="1"/>
  <c r="S83" i="1"/>
  <c r="S73" i="1"/>
  <c r="S87" i="1"/>
  <c r="Q76" i="1"/>
  <c r="Q90" i="1"/>
  <c r="R76" i="1"/>
  <c r="E36" i="9" s="1"/>
  <c r="R85" i="1"/>
  <c r="S71" i="1"/>
  <c r="S80" i="1"/>
  <c r="F15" i="9" s="1"/>
  <c r="Q88" i="1"/>
  <c r="Q74" i="1"/>
  <c r="S75" i="1"/>
  <c r="R79" i="1"/>
  <c r="E14" i="9" s="1"/>
  <c r="Q83" i="1"/>
  <c r="S84" i="1"/>
  <c r="R88" i="1"/>
  <c r="E48" i="9" s="1"/>
  <c r="R78" i="1"/>
  <c r="E13" i="9" s="1"/>
  <c r="R87" i="1"/>
  <c r="Q72" i="1"/>
  <c r="R77" i="1"/>
  <c r="R82" i="1"/>
  <c r="E17" i="9" s="1"/>
  <c r="S77" i="1"/>
  <c r="S82" i="1"/>
  <c r="R86" i="1"/>
  <c r="E46" i="9" s="1"/>
  <c r="S72" i="1"/>
  <c r="F7" i="9" s="1"/>
  <c r="S81" i="1"/>
  <c r="F41" i="9" s="1"/>
  <c r="Q89" i="1"/>
  <c r="R75" i="1"/>
  <c r="Q79" i="1"/>
  <c r="R84" i="1"/>
  <c r="S89" i="1"/>
  <c r="F49" i="9" s="1"/>
  <c r="Q73" i="1"/>
  <c r="R74" i="1"/>
  <c r="Q78" i="1"/>
  <c r="S79" i="1"/>
  <c r="R83" i="1"/>
  <c r="Q87" i="1"/>
  <c r="S88" i="1"/>
  <c r="Y200" i="1"/>
  <c r="T207" i="1"/>
  <c r="X71" i="1"/>
  <c r="M6" i="9" s="1"/>
  <c r="X31" i="1"/>
  <c r="W206" i="1"/>
  <c r="T198" i="1"/>
  <c r="W71" i="1"/>
  <c r="L6" i="9" s="1"/>
  <c r="W31" i="1"/>
  <c r="V31" i="1"/>
  <c r="S204" i="1"/>
  <c r="R206" i="1" s="1"/>
  <c r="X206" i="1" s="1"/>
  <c r="S202" i="1"/>
  <c r="T202" i="1" s="1"/>
  <c r="R200" i="1"/>
  <c r="S200" i="1" s="1"/>
  <c r="T200" i="1" s="1"/>
  <c r="V71" i="1"/>
  <c r="Y11" i="1"/>
  <c r="Q43" i="1"/>
  <c r="Q103" i="1" s="1"/>
  <c r="U124" i="1"/>
  <c r="W51" i="1"/>
  <c r="W111" i="1" s="1"/>
  <c r="L48" i="9" s="1"/>
  <c r="U128" i="1"/>
  <c r="U158" i="1"/>
  <c r="Q39" i="1"/>
  <c r="Q99" i="1" s="1"/>
  <c r="W37" i="1"/>
  <c r="V50" i="1"/>
  <c r="V110" i="1" s="1"/>
  <c r="K47" i="9" s="1"/>
  <c r="U197" i="1"/>
  <c r="X50" i="1"/>
  <c r="X110" i="1" s="1"/>
  <c r="M47" i="9" s="1"/>
  <c r="W35" i="1"/>
  <c r="X44" i="1"/>
  <c r="X104" i="1" s="1"/>
  <c r="M41" i="9" s="1"/>
  <c r="X38" i="1"/>
  <c r="T64" i="1"/>
  <c r="W198" i="1"/>
  <c r="U156" i="1"/>
  <c r="R52" i="1"/>
  <c r="R112" i="1" s="1"/>
  <c r="Y174" i="1"/>
  <c r="S43" i="1"/>
  <c r="S103" i="1" s="1"/>
  <c r="S49" i="1"/>
  <c r="S109" i="1" s="1"/>
  <c r="S51" i="1"/>
  <c r="S111" i="1" s="1"/>
  <c r="U132" i="1"/>
  <c r="V46" i="1"/>
  <c r="V106" i="1" s="1"/>
  <c r="K43" i="9" s="1"/>
  <c r="W39" i="1"/>
  <c r="W41" i="1"/>
  <c r="U192" i="1"/>
  <c r="T13" i="1"/>
  <c r="T16" i="1"/>
  <c r="Q34" i="1"/>
  <c r="Q94" i="1" s="1"/>
  <c r="X39" i="1"/>
  <c r="X41" i="1"/>
  <c r="X49" i="1"/>
  <c r="X109" i="1" s="1"/>
  <c r="M46" i="9" s="1"/>
  <c r="R34" i="1"/>
  <c r="R94" i="1" s="1"/>
  <c r="W38" i="1"/>
  <c r="Q51" i="1"/>
  <c r="Y63" i="1"/>
  <c r="U188" i="1"/>
  <c r="U194" i="1"/>
  <c r="W43" i="1"/>
  <c r="U201" i="1"/>
  <c r="U205" i="1"/>
  <c r="W40" i="1"/>
  <c r="T172" i="1"/>
  <c r="Q133" i="1"/>
  <c r="D64" i="9" s="1"/>
  <c r="T65" i="1"/>
  <c r="Q48" i="1"/>
  <c r="Q108" i="1" s="1"/>
  <c r="U154" i="1"/>
  <c r="Y195" i="1"/>
  <c r="Y89" i="1"/>
  <c r="Q41" i="1"/>
  <c r="Q101" i="1" s="1"/>
  <c r="S45" i="1"/>
  <c r="S105" i="1" s="1"/>
  <c r="V47" i="1"/>
  <c r="V107" i="1" s="1"/>
  <c r="K44" i="9" s="1"/>
  <c r="R48" i="1"/>
  <c r="R108" i="1" s="1"/>
  <c r="W49" i="1"/>
  <c r="W109" i="1" s="1"/>
  <c r="L46" i="9" s="1"/>
  <c r="V176" i="1"/>
  <c r="T173" i="1"/>
  <c r="Y202" i="1"/>
  <c r="T26" i="1"/>
  <c r="R41" i="1"/>
  <c r="R101" i="1" s="1"/>
  <c r="W47" i="1"/>
  <c r="W107" i="1" s="1"/>
  <c r="L44" i="9" s="1"/>
  <c r="T57" i="1"/>
  <c r="Y58" i="1"/>
  <c r="Y159" i="1"/>
  <c r="W176" i="1"/>
  <c r="R176" i="1"/>
  <c r="P20" i="6" s="1"/>
  <c r="Y25" i="1"/>
  <c r="S41" i="1"/>
  <c r="S101" i="1" s="1"/>
  <c r="R44" i="1"/>
  <c r="R104" i="1" s="1"/>
  <c r="X47" i="1"/>
  <c r="X107" i="1" s="1"/>
  <c r="M44" i="9" s="1"/>
  <c r="U120" i="1"/>
  <c r="U199" i="1"/>
  <c r="Y19" i="1"/>
  <c r="S34" i="1"/>
  <c r="S94" i="1" s="1"/>
  <c r="V42" i="1"/>
  <c r="Q49" i="1"/>
  <c r="Q109" i="1" s="1"/>
  <c r="S53" i="1"/>
  <c r="S113" i="1" s="1"/>
  <c r="S148" i="1" a="1"/>
  <c r="S148" i="1" s="1"/>
  <c r="Y66" i="1"/>
  <c r="V129" i="1"/>
  <c r="Y172" i="1"/>
  <c r="T29" i="1"/>
  <c r="V39" i="1"/>
  <c r="V40" i="1"/>
  <c r="X42" i="1"/>
  <c r="U136" i="1"/>
  <c r="U157" i="1"/>
  <c r="U193" i="1"/>
  <c r="U203" i="1"/>
  <c r="X146" i="1" a="1"/>
  <c r="X146" i="1" s="1"/>
  <c r="W148" i="1" a="1"/>
  <c r="W148" i="1" s="1"/>
  <c r="V142" i="1" a="1"/>
  <c r="V142" i="1" s="1"/>
  <c r="W140" i="1" a="1"/>
  <c r="W140" i="1" s="1"/>
  <c r="Q144" i="1" a="1"/>
  <c r="Q144" i="1" s="1"/>
  <c r="X148" i="1" a="1"/>
  <c r="X148" i="1" s="1"/>
  <c r="S146" i="1" a="1"/>
  <c r="S146" i="1" s="1"/>
  <c r="Y12" i="1"/>
  <c r="Y15" i="1"/>
  <c r="Y21" i="1"/>
  <c r="T22" i="1"/>
  <c r="Y86" i="1"/>
  <c r="T28" i="1"/>
  <c r="V34" i="1"/>
  <c r="Q35" i="1"/>
  <c r="Q37" i="1"/>
  <c r="V38" i="1"/>
  <c r="S39" i="1"/>
  <c r="S99" i="1" s="1"/>
  <c r="X40" i="1"/>
  <c r="R42" i="1"/>
  <c r="R102" i="1" s="1"/>
  <c r="W48" i="1"/>
  <c r="W108" i="1" s="1"/>
  <c r="L45" i="9" s="1"/>
  <c r="S50" i="1"/>
  <c r="S110" i="1" s="1"/>
  <c r="W52" i="1"/>
  <c r="W112" i="1" s="1"/>
  <c r="L49" i="9" s="1"/>
  <c r="V52" i="1"/>
  <c r="R142" i="1" a="1"/>
  <c r="R142" i="1" s="1"/>
  <c r="S144" i="1" a="1"/>
  <c r="S144" i="1" s="1"/>
  <c r="V146" i="1" a="1"/>
  <c r="V146" i="1" s="1"/>
  <c r="V109" i="1"/>
  <c r="K46" i="9" s="1"/>
  <c r="R140" i="1" a="1"/>
  <c r="R140" i="1" s="1"/>
  <c r="S67" i="1"/>
  <c r="T12" i="1"/>
  <c r="T15" i="1"/>
  <c r="Y18" i="1"/>
  <c r="T21" i="1"/>
  <c r="Y24" i="1"/>
  <c r="W34" i="1"/>
  <c r="S37" i="1"/>
  <c r="S97" i="1" s="1"/>
  <c r="X37" i="1"/>
  <c r="S42" i="1"/>
  <c r="S102" i="1" s="1"/>
  <c r="X46" i="1"/>
  <c r="X106" i="1" s="1"/>
  <c r="M43" i="9" s="1"/>
  <c r="W46" i="1"/>
  <c r="W106" i="1" s="1"/>
  <c r="L43" i="9" s="1"/>
  <c r="T58" i="1"/>
  <c r="S142" i="1" a="1"/>
  <c r="S142" i="1" s="1"/>
  <c r="Y61" i="1"/>
  <c r="W146" i="1" a="1"/>
  <c r="W146" i="1" s="1"/>
  <c r="T66" i="1"/>
  <c r="U187" i="1"/>
  <c r="W36" i="1"/>
  <c r="T19" i="1"/>
  <c r="Y28" i="1"/>
  <c r="X53" i="1"/>
  <c r="X113" i="1" s="1"/>
  <c r="M50" i="9" s="1"/>
  <c r="W53" i="1"/>
  <c r="W113" i="1" s="1"/>
  <c r="L50" i="9" s="1"/>
  <c r="V53" i="1"/>
  <c r="Q142" i="1" a="1"/>
  <c r="Q142" i="1" s="1"/>
  <c r="R144" i="1" a="1"/>
  <c r="R144" i="1" s="1"/>
  <c r="Y17" i="1"/>
  <c r="T18" i="1"/>
  <c r="Y82" i="1"/>
  <c r="T24" i="1"/>
  <c r="Y27" i="1"/>
  <c r="Y30" i="1"/>
  <c r="X34" i="1"/>
  <c r="S35" i="1"/>
  <c r="S95" i="1" s="1"/>
  <c r="V36" i="1"/>
  <c r="S38" i="1"/>
  <c r="S98" i="1" s="1"/>
  <c r="W44" i="1"/>
  <c r="W104" i="1" s="1"/>
  <c r="L41" i="9" s="1"/>
  <c r="V44" i="1"/>
  <c r="X45" i="1"/>
  <c r="X105" i="1" s="1"/>
  <c r="M42" i="9" s="1"/>
  <c r="W45" i="1"/>
  <c r="W105" i="1" s="1"/>
  <c r="L42" i="9" s="1"/>
  <c r="V45" i="1"/>
  <c r="S47" i="1"/>
  <c r="S107" i="1" s="1"/>
  <c r="R47" i="1"/>
  <c r="R107" i="1" s="1"/>
  <c r="V48" i="1"/>
  <c r="V117" i="1"/>
  <c r="K56" i="9" s="1"/>
  <c r="Y57" i="1"/>
  <c r="V144" i="1" a="1"/>
  <c r="V144" i="1" s="1"/>
  <c r="V126" i="1"/>
  <c r="Y62" i="1"/>
  <c r="Q129" i="1"/>
  <c r="T63" i="1"/>
  <c r="R89" i="1"/>
  <c r="E24" i="9" s="1"/>
  <c r="S140" i="1" a="1"/>
  <c r="S140" i="1" s="1"/>
  <c r="Y14" i="1"/>
  <c r="T17" i="1"/>
  <c r="Y20" i="1"/>
  <c r="Y81" i="1"/>
  <c r="T27" i="1"/>
  <c r="T30" i="1"/>
  <c r="Q31" i="1"/>
  <c r="X35" i="1"/>
  <c r="V35" i="1"/>
  <c r="X36" i="1"/>
  <c r="Q38" i="1"/>
  <c r="R40" i="1"/>
  <c r="R100" i="1" s="1"/>
  <c r="S46" i="1"/>
  <c r="S106" i="1" s="1"/>
  <c r="R46" i="1"/>
  <c r="R106" i="1" s="1"/>
  <c r="Q46" i="1"/>
  <c r="Q47" i="1"/>
  <c r="Q117" i="1"/>
  <c r="D56" i="9" s="1"/>
  <c r="Q67" i="1"/>
  <c r="W117" i="1"/>
  <c r="L56" i="9" s="1"/>
  <c r="V121" i="1"/>
  <c r="Y59" i="1"/>
  <c r="W142" i="1" a="1"/>
  <c r="W142" i="1" s="1"/>
  <c r="W144" i="1" a="1"/>
  <c r="W144" i="1" s="1"/>
  <c r="V133" i="1"/>
  <c r="Y65" i="1"/>
  <c r="V148" i="1" a="1"/>
  <c r="V148" i="1" s="1"/>
  <c r="R148" i="1" a="1"/>
  <c r="R148" i="1" s="1"/>
  <c r="Q42" i="1"/>
  <c r="R50" i="1"/>
  <c r="R110" i="1" s="1"/>
  <c r="Q50" i="1"/>
  <c r="T11" i="1"/>
  <c r="T14" i="1"/>
  <c r="T20" i="1"/>
  <c r="Y23" i="1"/>
  <c r="Y84" i="1"/>
  <c r="Y29" i="1"/>
  <c r="R31" i="1"/>
  <c r="S36" i="1"/>
  <c r="S96" i="1" s="1"/>
  <c r="Q36" i="1"/>
  <c r="R38" i="1"/>
  <c r="R98" i="1" s="1"/>
  <c r="S40" i="1"/>
  <c r="S100" i="1" s="1"/>
  <c r="Q140" i="1" a="1"/>
  <c r="Q140" i="1" s="1"/>
  <c r="X140" i="1" a="1"/>
  <c r="X140" i="1" s="1"/>
  <c r="Q125" i="1"/>
  <c r="T61" i="1"/>
  <c r="X144" i="1" a="1"/>
  <c r="X144" i="1" s="1"/>
  <c r="Q146" i="1" a="1"/>
  <c r="Q146" i="1" s="1"/>
  <c r="Q148" i="1" a="1"/>
  <c r="Q148" i="1" s="1"/>
  <c r="V101" i="1"/>
  <c r="K38" i="9" s="1"/>
  <c r="R67" i="1"/>
  <c r="Y22" i="1"/>
  <c r="T25" i="1"/>
  <c r="R37" i="1"/>
  <c r="R97" i="1" s="1"/>
  <c r="Y13" i="1"/>
  <c r="Y16" i="1"/>
  <c r="T23" i="1"/>
  <c r="Y26" i="1"/>
  <c r="Y87" i="1"/>
  <c r="Y90" i="1"/>
  <c r="S31" i="1"/>
  <c r="R36" i="1"/>
  <c r="R96" i="1" s="1"/>
  <c r="V37" i="1"/>
  <c r="Q121" i="1"/>
  <c r="T59" i="1"/>
  <c r="Q126" i="1"/>
  <c r="T62" i="1"/>
  <c r="R146" i="1" a="1"/>
  <c r="R146" i="1" s="1"/>
  <c r="S48" i="1"/>
  <c r="S108" i="1" s="1"/>
  <c r="Q45" i="1"/>
  <c r="Q53" i="1"/>
  <c r="Y60" i="1"/>
  <c r="V43" i="1"/>
  <c r="Q44" i="1"/>
  <c r="R45" i="1"/>
  <c r="R105" i="1" s="1"/>
  <c r="V51" i="1"/>
  <c r="Q52" i="1"/>
  <c r="R53" i="1"/>
  <c r="R113" i="1" s="1"/>
  <c r="T60" i="1"/>
  <c r="X142" i="1" a="1"/>
  <c r="X142" i="1" s="1"/>
  <c r="S176" i="1"/>
  <c r="U20" i="6" s="1"/>
  <c r="X176" i="1"/>
  <c r="Y173" i="1"/>
  <c r="V140" i="1" a="1"/>
  <c r="V140" i="1" s="1"/>
  <c r="Y64" i="1"/>
  <c r="T159" i="1"/>
  <c r="Q176" i="1"/>
  <c r="K20" i="6" s="1"/>
  <c r="Y171" i="1"/>
  <c r="U155" i="1"/>
  <c r="Y168" i="1"/>
  <c r="U168" i="1" s="1"/>
  <c r="Y175" i="1"/>
  <c r="T174" i="1"/>
  <c r="T175" i="1"/>
  <c r="U189" i="1"/>
  <c r="T171" i="1"/>
  <c r="X198" i="1"/>
  <c r="K10" i="6" l="1"/>
  <c r="P10" i="6"/>
  <c r="U10" i="6"/>
  <c r="Y126" i="1"/>
  <c r="Y122" i="1"/>
  <c r="U207" i="1"/>
  <c r="Y130" i="1"/>
  <c r="Y118" i="1"/>
  <c r="N57" i="9"/>
  <c r="N59" i="9"/>
  <c r="N63" i="9"/>
  <c r="K61" i="9"/>
  <c r="N61" i="9" s="1"/>
  <c r="Y129" i="1"/>
  <c r="K62" i="9"/>
  <c r="N62" i="9" s="1"/>
  <c r="N65" i="9"/>
  <c r="Y134" i="1"/>
  <c r="Y125" i="1"/>
  <c r="Y133" i="1"/>
  <c r="K64" i="9"/>
  <c r="N64" i="9" s="1"/>
  <c r="L60" i="9"/>
  <c r="N60" i="9" s="1"/>
  <c r="Y121" i="1"/>
  <c r="M66" i="9"/>
  <c r="K58" i="9"/>
  <c r="N58" i="9" s="1"/>
  <c r="N56" i="9"/>
  <c r="Y67" i="1"/>
  <c r="Y80" i="1"/>
  <c r="W95" i="1"/>
  <c r="L32" i="9" s="1"/>
  <c r="W103" i="1"/>
  <c r="L40" i="9" s="1"/>
  <c r="X101" i="1"/>
  <c r="M38" i="9" s="1"/>
  <c r="W101" i="1"/>
  <c r="L38" i="9" s="1"/>
  <c r="X97" i="1"/>
  <c r="M34" i="9" s="1"/>
  <c r="X99" i="1"/>
  <c r="M36" i="9" s="1"/>
  <c r="W99" i="1"/>
  <c r="L36" i="9" s="1"/>
  <c r="N47" i="9"/>
  <c r="X96" i="1"/>
  <c r="M33" i="9" s="1"/>
  <c r="W97" i="1"/>
  <c r="L34" i="9" s="1"/>
  <c r="W96" i="1"/>
  <c r="L33" i="9" s="1"/>
  <c r="X102" i="1"/>
  <c r="M39" i="9" s="1"/>
  <c r="X95" i="1"/>
  <c r="M32" i="9" s="1"/>
  <c r="X100" i="1"/>
  <c r="M37" i="9" s="1"/>
  <c r="V100" i="1"/>
  <c r="K37" i="9" s="1"/>
  <c r="X98" i="1"/>
  <c r="M35" i="9" s="1"/>
  <c r="V102" i="1"/>
  <c r="K39" i="9" s="1"/>
  <c r="W100" i="1"/>
  <c r="L37" i="9" s="1"/>
  <c r="W98" i="1"/>
  <c r="L35" i="9" s="1"/>
  <c r="L15" i="9"/>
  <c r="Y83" i="1"/>
  <c r="Y79" i="1"/>
  <c r="Y76" i="1"/>
  <c r="N10" i="9"/>
  <c r="L14" i="9"/>
  <c r="N13" i="9"/>
  <c r="Y73" i="1"/>
  <c r="K11" i="9"/>
  <c r="N11" i="9" s="1"/>
  <c r="Y74" i="1"/>
  <c r="Y72" i="1"/>
  <c r="N12" i="9"/>
  <c r="Y78" i="1"/>
  <c r="N7" i="9"/>
  <c r="Y75" i="1"/>
  <c r="Y77" i="1"/>
  <c r="N15" i="9"/>
  <c r="V91" i="1"/>
  <c r="K6" i="9"/>
  <c r="N6" i="9" s="1"/>
  <c r="W91" i="1"/>
  <c r="X91" i="1"/>
  <c r="K23" i="9"/>
  <c r="N23" i="9" s="1"/>
  <c r="N9" i="9"/>
  <c r="N44" i="9"/>
  <c r="N43" i="9"/>
  <c r="N46" i="9"/>
  <c r="T126" i="1"/>
  <c r="U126" i="1" s="1"/>
  <c r="T118" i="1"/>
  <c r="N8" i="9"/>
  <c r="M26" i="9"/>
  <c r="N14" i="9"/>
  <c r="G59" i="9"/>
  <c r="T78" i="1"/>
  <c r="T76" i="1"/>
  <c r="U200" i="1"/>
  <c r="T90" i="1"/>
  <c r="U90" i="1" s="1"/>
  <c r="F13" i="9"/>
  <c r="T122" i="1"/>
  <c r="T125" i="1"/>
  <c r="T129" i="1"/>
  <c r="U129" i="1" s="1"/>
  <c r="D62" i="9"/>
  <c r="G62" i="9" s="1"/>
  <c r="T134" i="1"/>
  <c r="T130" i="1"/>
  <c r="T121" i="1"/>
  <c r="G56" i="9"/>
  <c r="D58" i="9"/>
  <c r="G58" i="9" s="1"/>
  <c r="G57" i="9"/>
  <c r="G64" i="9"/>
  <c r="G63" i="9"/>
  <c r="T133" i="1"/>
  <c r="E66" i="9"/>
  <c r="F66" i="9"/>
  <c r="D60" i="9"/>
  <c r="G60" i="9" s="1"/>
  <c r="G65" i="9"/>
  <c r="D61" i="9"/>
  <c r="G61" i="9" s="1"/>
  <c r="D36" i="9"/>
  <c r="D40" i="9"/>
  <c r="D34" i="9"/>
  <c r="D44" i="9"/>
  <c r="F38" i="9"/>
  <c r="E34" i="9"/>
  <c r="D32" i="9"/>
  <c r="E39" i="9"/>
  <c r="F50" i="9"/>
  <c r="E50" i="9"/>
  <c r="D46" i="9"/>
  <c r="D33" i="9"/>
  <c r="F32" i="9"/>
  <c r="E47" i="9"/>
  <c r="F35" i="9"/>
  <c r="D50" i="9"/>
  <c r="F45" i="9"/>
  <c r="F46" i="9"/>
  <c r="F48" i="9"/>
  <c r="E44" i="9"/>
  <c r="F42" i="9"/>
  <c r="E38" i="9"/>
  <c r="D48" i="9"/>
  <c r="F47" i="9"/>
  <c r="D31" i="9"/>
  <c r="D47" i="9"/>
  <c r="D39" i="9"/>
  <c r="F37" i="9"/>
  <c r="F33" i="9"/>
  <c r="D45" i="9"/>
  <c r="D42" i="9"/>
  <c r="E43" i="9"/>
  <c r="E35" i="9"/>
  <c r="F44" i="9"/>
  <c r="F40" i="9"/>
  <c r="F43" i="9"/>
  <c r="F36" i="9"/>
  <c r="F34" i="9"/>
  <c r="F39" i="9"/>
  <c r="D49" i="9"/>
  <c r="E42" i="9"/>
  <c r="D43" i="9"/>
  <c r="F31" i="9"/>
  <c r="D35" i="9"/>
  <c r="E41" i="9"/>
  <c r="D38" i="9"/>
  <c r="E37" i="9"/>
  <c r="E45" i="9"/>
  <c r="E33" i="9"/>
  <c r="E31" i="9"/>
  <c r="D41" i="9"/>
  <c r="D22" i="9"/>
  <c r="D25" i="9"/>
  <c r="D20" i="9"/>
  <c r="T80" i="1"/>
  <c r="D14" i="9"/>
  <c r="E25" i="9"/>
  <c r="E9" i="9"/>
  <c r="F18" i="9"/>
  <c r="E15" i="9"/>
  <c r="F21" i="9"/>
  <c r="T71" i="1"/>
  <c r="F23" i="9"/>
  <c r="D13" i="9"/>
  <c r="E19" i="9"/>
  <c r="F16" i="9"/>
  <c r="G16" i="9" s="1"/>
  <c r="F12" i="9"/>
  <c r="E22" i="9"/>
  <c r="D18" i="9"/>
  <c r="D23" i="9"/>
  <c r="E11" i="9"/>
  <c r="F8" i="9"/>
  <c r="F25" i="9"/>
  <c r="T84" i="1"/>
  <c r="U84" i="1" s="1"/>
  <c r="T81" i="1"/>
  <c r="U81" i="1" s="1"/>
  <c r="T82" i="1"/>
  <c r="U82" i="1" s="1"/>
  <c r="Q91" i="1"/>
  <c r="K13" i="6" s="1"/>
  <c r="T86" i="1"/>
  <c r="U86" i="1" s="1"/>
  <c r="T73" i="1"/>
  <c r="F20" i="9"/>
  <c r="D10" i="9"/>
  <c r="D15" i="9"/>
  <c r="E7" i="9"/>
  <c r="F9" i="9"/>
  <c r="T88" i="1"/>
  <c r="U88" i="1" s="1"/>
  <c r="T72" i="1"/>
  <c r="T74" i="1"/>
  <c r="T89" i="1"/>
  <c r="U89" i="1" s="1"/>
  <c r="E49" i="9"/>
  <c r="T85" i="1"/>
  <c r="U85" i="1" s="1"/>
  <c r="T77" i="1"/>
  <c r="E18" i="9"/>
  <c r="D8" i="9"/>
  <c r="E10" i="9"/>
  <c r="E21" i="9"/>
  <c r="E12" i="9"/>
  <c r="E23" i="9"/>
  <c r="F10" i="9"/>
  <c r="F6" i="9"/>
  <c r="D11" i="9"/>
  <c r="D12" i="9"/>
  <c r="T79" i="1"/>
  <c r="D19" i="9"/>
  <c r="E6" i="9"/>
  <c r="D6" i="9"/>
  <c r="D21" i="9"/>
  <c r="S91" i="1"/>
  <c r="U13" i="6" s="1"/>
  <c r="T87" i="1"/>
  <c r="U87" i="1" s="1"/>
  <c r="T75" i="1"/>
  <c r="T83" i="1"/>
  <c r="F14" i="9"/>
  <c r="F24" i="9"/>
  <c r="D24" i="9"/>
  <c r="F17" i="9"/>
  <c r="G17" i="9" s="1"/>
  <c r="D7" i="9"/>
  <c r="F19" i="9"/>
  <c r="D9" i="9"/>
  <c r="E20" i="9"/>
  <c r="F22" i="9"/>
  <c r="E8" i="9"/>
  <c r="W54" i="1"/>
  <c r="W68" i="1" s="1"/>
  <c r="S206" i="1"/>
  <c r="Y31" i="1"/>
  <c r="T204" i="1"/>
  <c r="U204" i="1" s="1"/>
  <c r="Y71" i="1"/>
  <c r="V54" i="1"/>
  <c r="V68" i="1" s="1"/>
  <c r="Q150" i="1"/>
  <c r="K15" i="6" s="1"/>
  <c r="X54" i="1"/>
  <c r="X68" i="1" s="1"/>
  <c r="R150" i="1"/>
  <c r="P15" i="6" s="1"/>
  <c r="S150" i="1"/>
  <c r="U15" i="6" s="1"/>
  <c r="U195" i="1"/>
  <c r="U11" i="1"/>
  <c r="U16" i="1"/>
  <c r="U64" i="1"/>
  <c r="Y41" i="1"/>
  <c r="U65" i="1"/>
  <c r="T51" i="1"/>
  <c r="U58" i="1"/>
  <c r="U29" i="1"/>
  <c r="T109" i="1"/>
  <c r="T49" i="1"/>
  <c r="U19" i="1"/>
  <c r="Q111" i="1"/>
  <c r="T111" i="1" s="1"/>
  <c r="Y109" i="1"/>
  <c r="U21" i="1"/>
  <c r="U66" i="1"/>
  <c r="U57" i="1"/>
  <c r="U202" i="1"/>
  <c r="T99" i="1"/>
  <c r="Y42" i="1"/>
  <c r="U172" i="1"/>
  <c r="U17" i="1"/>
  <c r="T39" i="1"/>
  <c r="U26" i="1"/>
  <c r="Y135" i="1"/>
  <c r="T43" i="1"/>
  <c r="U159" i="1"/>
  <c r="Y176" i="1"/>
  <c r="Y107" i="1"/>
  <c r="U174" i="1"/>
  <c r="U18" i="1"/>
  <c r="Y49" i="1"/>
  <c r="T41" i="1"/>
  <c r="T101" i="1"/>
  <c r="U63" i="1"/>
  <c r="T100" i="1"/>
  <c r="Y206" i="1"/>
  <c r="Y40" i="1"/>
  <c r="U24" i="1"/>
  <c r="U15" i="1"/>
  <c r="T34" i="1"/>
  <c r="U62" i="1"/>
  <c r="U13" i="1"/>
  <c r="T40" i="1"/>
  <c r="T103" i="1"/>
  <c r="U25" i="1"/>
  <c r="S137" i="1"/>
  <c r="Y47" i="1"/>
  <c r="U30" i="1"/>
  <c r="T108" i="1"/>
  <c r="R137" i="1"/>
  <c r="X137" i="1"/>
  <c r="V99" i="1"/>
  <c r="Y39" i="1"/>
  <c r="U20" i="1"/>
  <c r="Y46" i="1"/>
  <c r="Y50" i="1"/>
  <c r="U12" i="1"/>
  <c r="Y110" i="1"/>
  <c r="Y140" i="1"/>
  <c r="V150" i="1"/>
  <c r="U28" i="1"/>
  <c r="Q105" i="1"/>
  <c r="T105" i="1" s="1"/>
  <c r="T45" i="1"/>
  <c r="Q104" i="1"/>
  <c r="T104" i="1" s="1"/>
  <c r="T44" i="1"/>
  <c r="U59" i="1"/>
  <c r="V97" i="1"/>
  <c r="K34" i="9" s="1"/>
  <c r="Y37" i="1"/>
  <c r="Y106" i="1"/>
  <c r="V104" i="1"/>
  <c r="Y44" i="1"/>
  <c r="X94" i="1"/>
  <c r="T123" i="1"/>
  <c r="R91" i="1"/>
  <c r="P13" i="6" s="1"/>
  <c r="T67" i="1"/>
  <c r="Y198" i="1"/>
  <c r="U198" i="1" s="1"/>
  <c r="U60" i="1"/>
  <c r="V103" i="1"/>
  <c r="Y43" i="1"/>
  <c r="U23" i="1"/>
  <c r="T146" i="1"/>
  <c r="U14" i="1"/>
  <c r="W137" i="1"/>
  <c r="U27" i="1"/>
  <c r="R54" i="1"/>
  <c r="R68" i="1" s="1"/>
  <c r="P11" i="6" s="1"/>
  <c r="T142" i="1"/>
  <c r="Y131" i="1"/>
  <c r="Y38" i="1"/>
  <c r="V98" i="1"/>
  <c r="U22" i="1"/>
  <c r="Y142" i="1"/>
  <c r="V112" i="1"/>
  <c r="Y52" i="1"/>
  <c r="X150" i="1"/>
  <c r="T31" i="1"/>
  <c r="Q102" i="1"/>
  <c r="T102" i="1" s="1"/>
  <c r="T42" i="1"/>
  <c r="Y127" i="1"/>
  <c r="Y117" i="1"/>
  <c r="V137" i="1"/>
  <c r="R114" i="1"/>
  <c r="V113" i="1"/>
  <c r="Y53" i="1"/>
  <c r="Y146" i="1"/>
  <c r="Q97" i="1"/>
  <c r="T97" i="1" s="1"/>
  <c r="T37" i="1"/>
  <c r="W150" i="1"/>
  <c r="Y123" i="1"/>
  <c r="Y148" i="1"/>
  <c r="Q137" i="1"/>
  <c r="T117" i="1"/>
  <c r="S54" i="1"/>
  <c r="S68" i="1" s="1"/>
  <c r="U11" i="6" s="1"/>
  <c r="Y144" i="1"/>
  <c r="Q95" i="1"/>
  <c r="T35" i="1"/>
  <c r="T48" i="1"/>
  <c r="U171" i="1"/>
  <c r="T176" i="1"/>
  <c r="U175" i="1"/>
  <c r="Q112" i="1"/>
  <c r="T112" i="1" s="1"/>
  <c r="T52" i="1"/>
  <c r="T119" i="1"/>
  <c r="Q96" i="1"/>
  <c r="T96" i="1" s="1"/>
  <c r="T36" i="1"/>
  <c r="T47" i="1"/>
  <c r="Q107" i="1"/>
  <c r="T107" i="1" s="1"/>
  <c r="S114" i="1"/>
  <c r="V105" i="1"/>
  <c r="Y45" i="1"/>
  <c r="W94" i="1"/>
  <c r="L31" i="9" s="1"/>
  <c r="Y34" i="1"/>
  <c r="V94" i="1"/>
  <c r="K31" i="9" s="1"/>
  <c r="T144" i="1"/>
  <c r="Y36" i="1"/>
  <c r="V96" i="1"/>
  <c r="V95" i="1"/>
  <c r="Y35" i="1"/>
  <c r="V108" i="1"/>
  <c r="Y48" i="1"/>
  <c r="Y119" i="1"/>
  <c r="V111" i="1"/>
  <c r="Y51" i="1"/>
  <c r="Q113" i="1"/>
  <c r="T113" i="1" s="1"/>
  <c r="T53" i="1"/>
  <c r="T148" i="1"/>
  <c r="U61" i="1"/>
  <c r="T140" i="1"/>
  <c r="Q110" i="1"/>
  <c r="T110" i="1" s="1"/>
  <c r="T50" i="1"/>
  <c r="Q106" i="1"/>
  <c r="T106" i="1" s="1"/>
  <c r="T46" i="1"/>
  <c r="Q98" i="1"/>
  <c r="T98" i="1" s="1"/>
  <c r="T38" i="1"/>
  <c r="U173" i="1"/>
  <c r="Q54" i="1"/>
  <c r="Q68" i="1" s="1"/>
  <c r="K11" i="6" s="1"/>
  <c r="T127" i="1"/>
  <c r="U130" i="1" l="1"/>
  <c r="U118" i="1"/>
  <c r="U122" i="1"/>
  <c r="L26" i="9"/>
  <c r="U80" i="1"/>
  <c r="U78" i="1"/>
  <c r="U75" i="1"/>
  <c r="Y103" i="1"/>
  <c r="U103" i="1" s="1"/>
  <c r="U134" i="1"/>
  <c r="L66" i="9"/>
  <c r="U121" i="1"/>
  <c r="U125" i="1"/>
  <c r="U133" i="1"/>
  <c r="K66" i="9"/>
  <c r="Y95" i="1"/>
  <c r="Y98" i="1"/>
  <c r="U98" i="1" s="1"/>
  <c r="Y96" i="1"/>
  <c r="U96" i="1" s="1"/>
  <c r="G13" i="9"/>
  <c r="U76" i="1"/>
  <c r="U74" i="1"/>
  <c r="U83" i="1"/>
  <c r="U79" i="1"/>
  <c r="L51" i="9"/>
  <c r="Y99" i="1"/>
  <c r="U99" i="1" s="1"/>
  <c r="Y102" i="1"/>
  <c r="U102" i="1" s="1"/>
  <c r="K40" i="9"/>
  <c r="N40" i="9" s="1"/>
  <c r="N38" i="9"/>
  <c r="N39" i="9"/>
  <c r="N37" i="9"/>
  <c r="X114" i="1"/>
  <c r="X151" i="1" s="1"/>
  <c r="N34" i="9"/>
  <c r="Y100" i="1"/>
  <c r="U100" i="1" s="1"/>
  <c r="M31" i="9"/>
  <c r="M51" i="9" s="1"/>
  <c r="W114" i="1"/>
  <c r="W151" i="1" s="1"/>
  <c r="W208" i="1" s="1"/>
  <c r="K32" i="9"/>
  <c r="N32" i="9" s="1"/>
  <c r="K33" i="9"/>
  <c r="N33" i="9" s="1"/>
  <c r="Y97" i="1"/>
  <c r="U97" i="1" s="1"/>
  <c r="Y101" i="1"/>
  <c r="U101" i="1" s="1"/>
  <c r="K35" i="9"/>
  <c r="N35" i="9" s="1"/>
  <c r="K36" i="9"/>
  <c r="N36" i="9" s="1"/>
  <c r="U77" i="1"/>
  <c r="U73" i="1"/>
  <c r="U72" i="1"/>
  <c r="K26" i="9"/>
  <c r="N26" i="9" s="1"/>
  <c r="Y113" i="1"/>
  <c r="U113" i="1" s="1"/>
  <c r="K50" i="9"/>
  <c r="N50" i="9" s="1"/>
  <c r="Y111" i="1"/>
  <c r="U111" i="1" s="1"/>
  <c r="K48" i="9"/>
  <c r="N48" i="9" s="1"/>
  <c r="Y112" i="1"/>
  <c r="U112" i="1" s="1"/>
  <c r="K49" i="9"/>
  <c r="N49" i="9" s="1"/>
  <c r="Y105" i="1"/>
  <c r="U105" i="1" s="1"/>
  <c r="K42" i="9"/>
  <c r="N42" i="9" s="1"/>
  <c r="Y104" i="1"/>
  <c r="U104" i="1" s="1"/>
  <c r="K41" i="9"/>
  <c r="Y108" i="1"/>
  <c r="U108" i="1" s="1"/>
  <c r="K45" i="9"/>
  <c r="N45" i="9" s="1"/>
  <c r="U107" i="1"/>
  <c r="G38" i="9"/>
  <c r="G11" i="9"/>
  <c r="G37" i="9"/>
  <c r="G34" i="9"/>
  <c r="G14" i="9"/>
  <c r="G40" i="9"/>
  <c r="G35" i="9"/>
  <c r="G45" i="9"/>
  <c r="G42" i="9"/>
  <c r="G15" i="9"/>
  <c r="G44" i="9"/>
  <c r="G7" i="9"/>
  <c r="G18" i="9"/>
  <c r="G36" i="9"/>
  <c r="D66" i="9"/>
  <c r="G66" i="9" s="1"/>
  <c r="U71" i="1"/>
  <c r="Y91" i="1"/>
  <c r="G39" i="9"/>
  <c r="G50" i="9"/>
  <c r="G47" i="9"/>
  <c r="G31" i="9"/>
  <c r="G46" i="9"/>
  <c r="G41" i="9"/>
  <c r="G43" i="9"/>
  <c r="G49" i="9"/>
  <c r="G33" i="9"/>
  <c r="F51" i="9"/>
  <c r="D51" i="9"/>
  <c r="G48" i="9"/>
  <c r="G32" i="9"/>
  <c r="G25" i="9"/>
  <c r="E51" i="9"/>
  <c r="G22" i="9"/>
  <c r="G12" i="9"/>
  <c r="G9" i="9"/>
  <c r="T91" i="1"/>
  <c r="G24" i="9"/>
  <c r="G21" i="9"/>
  <c r="D26" i="9"/>
  <c r="G6" i="9"/>
  <c r="E26" i="9"/>
  <c r="G10" i="9"/>
  <c r="G19" i="9"/>
  <c r="G8" i="9"/>
  <c r="G20" i="9"/>
  <c r="G23" i="9"/>
  <c r="F26" i="9"/>
  <c r="P14" i="6"/>
  <c r="T150" i="1"/>
  <c r="U14" i="6"/>
  <c r="Y54" i="1"/>
  <c r="Y68" i="1" s="1"/>
  <c r="R151" i="1"/>
  <c r="R208" i="1" s="1"/>
  <c r="R210" i="1" s="1"/>
  <c r="U31" i="1"/>
  <c r="U110" i="1"/>
  <c r="U43" i="1"/>
  <c r="U49" i="1"/>
  <c r="U53" i="1"/>
  <c r="U41" i="1"/>
  <c r="U51" i="1"/>
  <c r="U127" i="1"/>
  <c r="U39" i="1"/>
  <c r="T94" i="1"/>
  <c r="U109" i="1"/>
  <c r="U42" i="1"/>
  <c r="T206" i="1"/>
  <c r="U206" i="1" s="1"/>
  <c r="U38" i="1"/>
  <c r="S151" i="1"/>
  <c r="S208" i="1" s="1"/>
  <c r="S210" i="1" s="1"/>
  <c r="U135" i="1"/>
  <c r="U176" i="1"/>
  <c r="U106" i="1"/>
  <c r="U40" i="1"/>
  <c r="U50" i="1"/>
  <c r="U36" i="1"/>
  <c r="U142" i="1"/>
  <c r="U146" i="1"/>
  <c r="U119" i="1"/>
  <c r="U48" i="1"/>
  <c r="U144" i="1"/>
  <c r="U46" i="1"/>
  <c r="U47" i="1"/>
  <c r="U37" i="1"/>
  <c r="U44" i="1"/>
  <c r="Y150" i="1"/>
  <c r="U123" i="1"/>
  <c r="U140" i="1"/>
  <c r="V114" i="1"/>
  <c r="V151" i="1" s="1"/>
  <c r="V208" i="1" s="1"/>
  <c r="V210" i="1" s="1"/>
  <c r="Y94" i="1"/>
  <c r="U52" i="1"/>
  <c r="U117" i="1"/>
  <c r="T137" i="1"/>
  <c r="U45" i="1"/>
  <c r="U35" i="1"/>
  <c r="T54" i="1"/>
  <c r="T68" i="1" s="1"/>
  <c r="T95" i="1"/>
  <c r="Q114" i="1"/>
  <c r="U34" i="1"/>
  <c r="Y137" i="1"/>
  <c r="U148" i="1"/>
  <c r="U131" i="1"/>
  <c r="U67" i="1"/>
  <c r="X208" i="1" l="1"/>
  <c r="X210" i="1" s="1"/>
  <c r="X211" i="1" s="1"/>
  <c r="U91" i="1"/>
  <c r="N66" i="9"/>
  <c r="U150" i="1"/>
  <c r="U95" i="1"/>
  <c r="N31" i="9"/>
  <c r="K51" i="9"/>
  <c r="N51" i="9" s="1"/>
  <c r="N41" i="9"/>
  <c r="V211" i="1"/>
  <c r="V213" i="1" s="1"/>
  <c r="G51" i="9"/>
  <c r="G26" i="9"/>
  <c r="Q151" i="1"/>
  <c r="Q208" i="1" s="1"/>
  <c r="Q210" i="1" s="1"/>
  <c r="T210" i="1" s="1"/>
  <c r="K14" i="6"/>
  <c r="T114" i="1"/>
  <c r="T151" i="1" s="1"/>
  <c r="U68" i="1"/>
  <c r="Y114" i="1"/>
  <c r="Y151" i="1" s="1"/>
  <c r="U94" i="1"/>
  <c r="U137" i="1"/>
  <c r="W210" i="1" l="1"/>
  <c r="W211" i="1" s="1"/>
  <c r="P28" i="6"/>
  <c r="R211" i="1" a="1"/>
  <c r="R211" i="1" s="1"/>
  <c r="W212" i="1" s="1"/>
  <c r="Y208" i="1"/>
  <c r="U28" i="6"/>
  <c r="S211" i="1"/>
  <c r="X212" i="1" s="1"/>
  <c r="U114" i="1"/>
  <c r="U151" i="1"/>
  <c r="W213" i="1" l="1"/>
  <c r="P33" i="6" s="1"/>
  <c r="X213" i="1"/>
  <c r="U33" i="6" s="1"/>
  <c r="Q211" i="1" a="1"/>
  <c r="Q211" i="1" s="1"/>
  <c r="Y210" i="1"/>
  <c r="P29" i="6"/>
  <c r="T208" i="1"/>
  <c r="U208" i="1" s="1"/>
  <c r="R213" i="1"/>
  <c r="Y212" i="1"/>
  <c r="U212" i="1" s="1"/>
  <c r="S213" i="1"/>
  <c r="U29" i="6"/>
  <c r="Y211" i="1"/>
  <c r="K33" i="6"/>
  <c r="Y213" i="1" l="1"/>
  <c r="U210" i="1"/>
  <c r="K28" i="6"/>
  <c r="T211" i="1"/>
  <c r="T213" i="1" s="1"/>
  <c r="K29" i="6"/>
  <c r="Q213" i="1"/>
  <c r="P5" i="8"/>
  <c r="U213" i="1" l="1"/>
  <c r="U211" i="1"/>
  <c r="O6" i="8"/>
  <c r="O7" i="8"/>
  <c r="O8" i="8"/>
  <c r="O9" i="8"/>
  <c r="O10" i="8"/>
  <c r="O11" i="8"/>
  <c r="O12" i="8"/>
  <c r="O13" i="8"/>
  <c r="O14" i="8"/>
  <c r="O5" i="8"/>
  <c r="I5" i="8"/>
  <c r="N5" i="8" s="1"/>
  <c r="T6" i="8"/>
  <c r="T7" i="8"/>
  <c r="T8" i="8"/>
  <c r="T9" i="8"/>
  <c r="T10" i="8"/>
  <c r="T11" i="8"/>
  <c r="T12" i="8"/>
  <c r="T13" i="8"/>
  <c r="T14" i="8"/>
  <c r="T5" i="8"/>
  <c r="R6" i="8" l="1"/>
  <c r="R7" i="8"/>
  <c r="R8" i="8"/>
  <c r="R9" i="8"/>
  <c r="R10" i="8"/>
  <c r="R11" i="8"/>
  <c r="R12" i="8"/>
  <c r="R13" i="8"/>
  <c r="R14" i="8"/>
  <c r="S6" i="8" l="1"/>
  <c r="S7" i="8"/>
  <c r="S8" i="8"/>
  <c r="S9" i="8"/>
  <c r="S10" i="8"/>
  <c r="S11" i="8"/>
  <c r="S12" i="8"/>
  <c r="S13" i="8"/>
  <c r="S14" i="8"/>
  <c r="E5" i="8"/>
  <c r="Q5" i="8" s="1"/>
  <c r="S5" i="8"/>
  <c r="R5" i="8"/>
  <c r="E6" i="8"/>
  <c r="Q6" i="8" s="1"/>
  <c r="E7" i="8"/>
  <c r="Q7" i="8" s="1"/>
  <c r="E8" i="8"/>
  <c r="Q8" i="8" s="1"/>
  <c r="E9" i="8"/>
  <c r="Q9" i="8" s="1"/>
  <c r="E10" i="8"/>
  <c r="Q10" i="8" s="1"/>
  <c r="E11" i="8"/>
  <c r="Q11" i="8" s="1"/>
  <c r="E12" i="8"/>
  <c r="Q12" i="8" s="1"/>
  <c r="E13" i="8"/>
  <c r="Q13" i="8" s="1"/>
  <c r="E14" i="8"/>
  <c r="Q14" i="8" s="1"/>
  <c r="I6" i="8"/>
  <c r="N6" i="8" s="1"/>
  <c r="I7" i="8"/>
  <c r="N7" i="8" s="1"/>
  <c r="I8" i="8"/>
  <c r="N8" i="8" s="1"/>
  <c r="I9" i="8"/>
  <c r="N9" i="8" s="1"/>
  <c r="I10" i="8"/>
  <c r="N10" i="8" s="1"/>
  <c r="I11" i="8"/>
  <c r="N11" i="8" s="1"/>
  <c r="I12" i="8"/>
  <c r="N12" i="8" s="1"/>
  <c r="I13" i="8"/>
  <c r="N13" i="8" s="1"/>
  <c r="I14" i="8"/>
  <c r="N14" i="8" s="1"/>
  <c r="P6" i="8"/>
  <c r="P7" i="8"/>
  <c r="P8" i="8"/>
  <c r="P9" i="8"/>
  <c r="P10" i="8"/>
  <c r="P11" i="8"/>
  <c r="P12" i="8"/>
  <c r="P13" i="8"/>
  <c r="P14" i="8"/>
  <c r="U10" i="8" l="1"/>
  <c r="U13" i="8"/>
  <c r="U12" i="8"/>
  <c r="U7" i="8"/>
  <c r="U6" i="8"/>
  <c r="U14" i="8"/>
  <c r="U11" i="8"/>
  <c r="U9" i="8"/>
  <c r="U8" i="8"/>
  <c r="U5" i="8" l="1"/>
  <c r="U16" i="8" s="1"/>
  <c r="P21" i="6"/>
  <c r="U21" i="6"/>
  <c r="K21" i="6"/>
  <c r="U17" i="6"/>
  <c r="P17" i="6"/>
  <c r="Z18" i="6"/>
  <c r="K17" i="6"/>
  <c r="Z24" i="6"/>
  <c r="Z19" i="6"/>
  <c r="Z23" i="6" l="1"/>
  <c r="Z22" i="6"/>
  <c r="L4" i="3" l="1"/>
  <c r="Z21" i="6" l="1"/>
  <c r="T4" i="3"/>
  <c r="T5" i="3"/>
  <c r="T6" i="3"/>
  <c r="T7" i="3"/>
  <c r="T8" i="3"/>
  <c r="T9" i="3"/>
  <c r="T10" i="3"/>
  <c r="T11" i="3"/>
  <c r="T12" i="3"/>
  <c r="T13" i="3"/>
  <c r="T14" i="3"/>
  <c r="T15" i="3"/>
  <c r="T16" i="3"/>
  <c r="T17" i="3"/>
  <c r="T18" i="3"/>
  <c r="T19" i="3"/>
  <c r="T20" i="3"/>
  <c r="T21" i="3"/>
  <c r="T22" i="3"/>
  <c r="T23" i="3"/>
  <c r="T24" i="3"/>
  <c r="T25" i="3"/>
  <c r="T26" i="3"/>
  <c r="T27" i="3"/>
  <c r="T28" i="3"/>
  <c r="T29" i="3"/>
  <c r="T30" i="3"/>
  <c r="T31" i="3"/>
  <c r="T32" i="3"/>
  <c r="T33" i="3"/>
  <c r="T34" i="3"/>
  <c r="T35" i="3"/>
  <c r="T36" i="3"/>
  <c r="T37" i="3"/>
  <c r="T38" i="3"/>
  <c r="T39" i="3"/>
  <c r="T40" i="3"/>
  <c r="T41" i="3"/>
  <c r="T42" i="3"/>
  <c r="T43" i="3"/>
  <c r="T44" i="3"/>
  <c r="T45" i="3"/>
  <c r="T46" i="3"/>
  <c r="T47" i="3"/>
  <c r="T48" i="3"/>
  <c r="T49" i="3"/>
  <c r="T50" i="3"/>
  <c r="T51" i="3"/>
  <c r="T52" i="3"/>
  <c r="T53" i="3"/>
  <c r="T54" i="3"/>
  <c r="T55" i="3"/>
  <c r="T56" i="3"/>
  <c r="T57" i="3"/>
  <c r="T58" i="3"/>
  <c r="T59" i="3"/>
  <c r="T60" i="3"/>
  <c r="T61" i="3"/>
  <c r="T62" i="3"/>
  <c r="T63" i="3"/>
  <c r="T64" i="3"/>
  <c r="T65" i="3"/>
  <c r="T66" i="3"/>
  <c r="T67" i="3"/>
  <c r="T68" i="3"/>
  <c r="T69" i="3"/>
  <c r="T70" i="3"/>
  <c r="T71" i="3"/>
  <c r="T72" i="3"/>
  <c r="T73" i="3"/>
  <c r="T74" i="3"/>
  <c r="T75" i="3"/>
  <c r="T76" i="3"/>
  <c r="T77" i="3"/>
  <c r="T78" i="3"/>
  <c r="T79" i="3"/>
  <c r="T80" i="3"/>
  <c r="T81" i="3"/>
  <c r="T82" i="3"/>
  <c r="T83" i="3"/>
  <c r="T84" i="3"/>
  <c r="T85" i="3"/>
  <c r="T86" i="3"/>
  <c r="T87" i="3"/>
  <c r="T88" i="3"/>
  <c r="T89" i="3"/>
  <c r="T90" i="3"/>
  <c r="T91" i="3"/>
  <c r="T92" i="3"/>
  <c r="T93" i="3"/>
  <c r="T94" i="3"/>
  <c r="T95" i="3"/>
  <c r="T96" i="3"/>
  <c r="T97" i="3"/>
  <c r="T98" i="3"/>
  <c r="T99" i="3"/>
  <c r="T100" i="3"/>
  <c r="T101" i="3"/>
  <c r="T102" i="3"/>
  <c r="T103" i="3"/>
  <c r="S4" i="3"/>
  <c r="S5" i="3"/>
  <c r="S6" i="3"/>
  <c r="S7" i="3"/>
  <c r="S8" i="3"/>
  <c r="S9" i="3"/>
  <c r="S10" i="3"/>
  <c r="S11" i="3"/>
  <c r="S12" i="3"/>
  <c r="S13" i="3"/>
  <c r="S14" i="3"/>
  <c r="S15" i="3"/>
  <c r="S16" i="3"/>
  <c r="S17" i="3"/>
  <c r="S18" i="3"/>
  <c r="S19" i="3"/>
  <c r="S20" i="3"/>
  <c r="S21" i="3"/>
  <c r="S22" i="3"/>
  <c r="S23" i="3"/>
  <c r="S24" i="3"/>
  <c r="S25" i="3"/>
  <c r="S26" i="3"/>
  <c r="S27" i="3"/>
  <c r="S28" i="3"/>
  <c r="S29" i="3"/>
  <c r="S30" i="3"/>
  <c r="S31" i="3"/>
  <c r="S32" i="3"/>
  <c r="S33" i="3"/>
  <c r="S34" i="3"/>
  <c r="S35" i="3"/>
  <c r="S36" i="3"/>
  <c r="S37" i="3"/>
  <c r="S38" i="3"/>
  <c r="S39" i="3"/>
  <c r="S40" i="3"/>
  <c r="S41" i="3"/>
  <c r="S42" i="3"/>
  <c r="S43" i="3"/>
  <c r="S44" i="3"/>
  <c r="S45" i="3"/>
  <c r="S46" i="3"/>
  <c r="S47" i="3"/>
  <c r="S48" i="3"/>
  <c r="S49" i="3"/>
  <c r="S50" i="3"/>
  <c r="S51" i="3"/>
  <c r="S52" i="3"/>
  <c r="S53" i="3"/>
  <c r="S54" i="3"/>
  <c r="S55" i="3"/>
  <c r="S56" i="3"/>
  <c r="S57" i="3"/>
  <c r="S58" i="3"/>
  <c r="S59" i="3"/>
  <c r="S60" i="3"/>
  <c r="S61" i="3"/>
  <c r="S62" i="3"/>
  <c r="S63" i="3"/>
  <c r="S64" i="3"/>
  <c r="S65" i="3"/>
  <c r="S66" i="3"/>
  <c r="S67" i="3"/>
  <c r="S68" i="3"/>
  <c r="S69" i="3"/>
  <c r="S70" i="3"/>
  <c r="S71" i="3"/>
  <c r="S72" i="3"/>
  <c r="S73" i="3"/>
  <c r="S74" i="3"/>
  <c r="S75" i="3"/>
  <c r="S76" i="3"/>
  <c r="S77" i="3"/>
  <c r="S78" i="3"/>
  <c r="S79" i="3"/>
  <c r="S80" i="3"/>
  <c r="S81" i="3"/>
  <c r="S82" i="3"/>
  <c r="S83" i="3"/>
  <c r="S84" i="3"/>
  <c r="S85" i="3"/>
  <c r="S86" i="3"/>
  <c r="S87" i="3"/>
  <c r="S88" i="3"/>
  <c r="S89" i="3"/>
  <c r="S90" i="3"/>
  <c r="S91" i="3"/>
  <c r="S92" i="3"/>
  <c r="S93" i="3"/>
  <c r="S94" i="3"/>
  <c r="S95" i="3"/>
  <c r="S96" i="3"/>
  <c r="S97" i="3"/>
  <c r="S98" i="3"/>
  <c r="S99" i="3"/>
  <c r="S100" i="3"/>
  <c r="S101" i="3"/>
  <c r="S102" i="3"/>
  <c r="S103" i="3"/>
  <c r="R4" i="3"/>
  <c r="R5" i="3"/>
  <c r="R6" i="3"/>
  <c r="R7" i="3"/>
  <c r="R8" i="3"/>
  <c r="R9" i="3"/>
  <c r="R10" i="3"/>
  <c r="R11" i="3"/>
  <c r="R12" i="3"/>
  <c r="R13" i="3"/>
  <c r="R14" i="3"/>
  <c r="R15" i="3"/>
  <c r="R16" i="3"/>
  <c r="R17" i="3"/>
  <c r="R18" i="3"/>
  <c r="R19" i="3"/>
  <c r="R20" i="3"/>
  <c r="R21" i="3"/>
  <c r="R22" i="3"/>
  <c r="R23" i="3"/>
  <c r="R24" i="3"/>
  <c r="R25" i="3"/>
  <c r="R26" i="3"/>
  <c r="R27" i="3"/>
  <c r="R28" i="3"/>
  <c r="R29" i="3"/>
  <c r="R30" i="3"/>
  <c r="R31" i="3"/>
  <c r="R32" i="3"/>
  <c r="R33" i="3"/>
  <c r="R34" i="3"/>
  <c r="R35" i="3"/>
  <c r="R36" i="3"/>
  <c r="R37" i="3"/>
  <c r="R38" i="3"/>
  <c r="R39" i="3"/>
  <c r="R40" i="3"/>
  <c r="R41" i="3"/>
  <c r="R42" i="3"/>
  <c r="R43" i="3"/>
  <c r="R44" i="3"/>
  <c r="R45" i="3"/>
  <c r="R46" i="3"/>
  <c r="R47" i="3"/>
  <c r="R48" i="3"/>
  <c r="R49" i="3"/>
  <c r="R50" i="3"/>
  <c r="R51" i="3"/>
  <c r="R52" i="3"/>
  <c r="R53" i="3"/>
  <c r="R54" i="3"/>
  <c r="R55" i="3"/>
  <c r="R56" i="3"/>
  <c r="R57" i="3"/>
  <c r="R58" i="3"/>
  <c r="R59" i="3"/>
  <c r="R60" i="3"/>
  <c r="R61" i="3"/>
  <c r="R62" i="3"/>
  <c r="R63" i="3"/>
  <c r="R64" i="3"/>
  <c r="R65" i="3"/>
  <c r="R66" i="3"/>
  <c r="R67" i="3"/>
  <c r="R68" i="3"/>
  <c r="R69" i="3"/>
  <c r="R70" i="3"/>
  <c r="R71" i="3"/>
  <c r="R72" i="3"/>
  <c r="R73" i="3"/>
  <c r="R74" i="3"/>
  <c r="R75" i="3"/>
  <c r="R76" i="3"/>
  <c r="R77" i="3"/>
  <c r="R78" i="3"/>
  <c r="R79" i="3"/>
  <c r="R80" i="3"/>
  <c r="R81" i="3"/>
  <c r="R82" i="3"/>
  <c r="R83" i="3"/>
  <c r="R84" i="3"/>
  <c r="R85" i="3"/>
  <c r="R86" i="3"/>
  <c r="R87" i="3"/>
  <c r="R88" i="3"/>
  <c r="R89" i="3"/>
  <c r="R90" i="3"/>
  <c r="R91" i="3"/>
  <c r="R92" i="3"/>
  <c r="R93" i="3"/>
  <c r="R94" i="3"/>
  <c r="R95" i="3"/>
  <c r="R96" i="3"/>
  <c r="R97" i="3"/>
  <c r="R98" i="3"/>
  <c r="R99" i="3"/>
  <c r="R100" i="3"/>
  <c r="R101" i="3"/>
  <c r="R102" i="3"/>
  <c r="R103" i="3"/>
  <c r="Q4" i="3"/>
  <c r="Q5" i="3"/>
  <c r="Q6" i="3"/>
  <c r="Q7" i="3"/>
  <c r="Q8" i="3"/>
  <c r="Q9" i="3"/>
  <c r="Q10" i="3"/>
  <c r="Q11" i="3"/>
  <c r="Q12" i="3"/>
  <c r="Q13" i="3"/>
  <c r="Q14" i="3"/>
  <c r="Q15" i="3"/>
  <c r="Q16" i="3"/>
  <c r="Q17" i="3"/>
  <c r="Q18" i="3"/>
  <c r="Q19" i="3"/>
  <c r="Q20" i="3"/>
  <c r="Q21" i="3"/>
  <c r="Q22" i="3"/>
  <c r="Q23" i="3"/>
  <c r="Q24" i="3"/>
  <c r="Q25" i="3"/>
  <c r="Q26" i="3"/>
  <c r="Q27" i="3"/>
  <c r="Q28" i="3"/>
  <c r="Q29" i="3"/>
  <c r="Q30" i="3"/>
  <c r="Q31" i="3"/>
  <c r="Q32" i="3"/>
  <c r="Q33" i="3"/>
  <c r="Q34" i="3"/>
  <c r="Q35" i="3"/>
  <c r="Q36" i="3"/>
  <c r="Q37" i="3"/>
  <c r="Q38" i="3"/>
  <c r="Q39" i="3"/>
  <c r="Q40" i="3"/>
  <c r="Q41" i="3"/>
  <c r="Q42" i="3"/>
  <c r="Q43" i="3"/>
  <c r="Q44" i="3"/>
  <c r="Q45" i="3"/>
  <c r="Q46" i="3"/>
  <c r="Q47" i="3"/>
  <c r="Q48" i="3"/>
  <c r="Q49" i="3"/>
  <c r="Q50" i="3"/>
  <c r="Q51" i="3"/>
  <c r="Q52" i="3"/>
  <c r="Q53" i="3"/>
  <c r="Q54" i="3"/>
  <c r="Q55" i="3"/>
  <c r="Q56" i="3"/>
  <c r="Q57" i="3"/>
  <c r="Q58" i="3"/>
  <c r="Q59" i="3"/>
  <c r="Q60" i="3"/>
  <c r="Q61" i="3"/>
  <c r="Q62" i="3"/>
  <c r="Q63" i="3"/>
  <c r="Q64" i="3"/>
  <c r="Q65" i="3"/>
  <c r="Q66" i="3"/>
  <c r="Q67" i="3"/>
  <c r="Q68" i="3"/>
  <c r="Q69" i="3"/>
  <c r="Q70" i="3"/>
  <c r="Q71" i="3"/>
  <c r="Q72" i="3"/>
  <c r="Q73" i="3"/>
  <c r="Q74" i="3"/>
  <c r="Q75" i="3"/>
  <c r="Q76" i="3"/>
  <c r="Q77" i="3"/>
  <c r="Q78" i="3"/>
  <c r="Q79" i="3"/>
  <c r="Q80" i="3"/>
  <c r="Q81" i="3"/>
  <c r="Q82" i="3"/>
  <c r="Q83" i="3"/>
  <c r="Q84" i="3"/>
  <c r="Q85" i="3"/>
  <c r="Q86" i="3"/>
  <c r="Q87" i="3"/>
  <c r="Q88" i="3"/>
  <c r="Q89" i="3"/>
  <c r="Q90" i="3"/>
  <c r="Q91" i="3"/>
  <c r="Q92" i="3"/>
  <c r="Q93" i="3"/>
  <c r="Q94" i="3"/>
  <c r="Q95" i="3"/>
  <c r="Q96" i="3"/>
  <c r="Q97" i="3"/>
  <c r="Q98" i="3"/>
  <c r="Q99" i="3"/>
  <c r="Q100" i="3"/>
  <c r="Q101" i="3"/>
  <c r="Q102" i="3"/>
  <c r="Q103" i="3"/>
  <c r="P4" i="3"/>
  <c r="P5" i="3"/>
  <c r="P6" i="3"/>
  <c r="P7" i="3"/>
  <c r="P8" i="3"/>
  <c r="P9" i="3"/>
  <c r="P10" i="3"/>
  <c r="P11" i="3"/>
  <c r="P12" i="3"/>
  <c r="P13" i="3"/>
  <c r="P14" i="3"/>
  <c r="P15" i="3"/>
  <c r="P16" i="3"/>
  <c r="P17" i="3"/>
  <c r="P18" i="3"/>
  <c r="P19" i="3"/>
  <c r="P20" i="3"/>
  <c r="P21" i="3"/>
  <c r="P22" i="3"/>
  <c r="P23" i="3"/>
  <c r="P24" i="3"/>
  <c r="P25" i="3"/>
  <c r="P26" i="3"/>
  <c r="P27" i="3"/>
  <c r="P28" i="3"/>
  <c r="P29" i="3"/>
  <c r="P30" i="3"/>
  <c r="P31" i="3"/>
  <c r="P32" i="3"/>
  <c r="P33" i="3"/>
  <c r="P34" i="3"/>
  <c r="P35" i="3"/>
  <c r="P36" i="3"/>
  <c r="P37" i="3"/>
  <c r="P38" i="3"/>
  <c r="P39" i="3"/>
  <c r="P40" i="3"/>
  <c r="P41" i="3"/>
  <c r="P42" i="3"/>
  <c r="P43" i="3"/>
  <c r="P44" i="3"/>
  <c r="P45" i="3"/>
  <c r="P46" i="3"/>
  <c r="P47" i="3"/>
  <c r="P48" i="3"/>
  <c r="P49" i="3"/>
  <c r="P50" i="3"/>
  <c r="P51" i="3"/>
  <c r="P52" i="3"/>
  <c r="P53" i="3"/>
  <c r="P54" i="3"/>
  <c r="P55" i="3"/>
  <c r="P56" i="3"/>
  <c r="P57" i="3"/>
  <c r="P58" i="3"/>
  <c r="P59" i="3"/>
  <c r="P60" i="3"/>
  <c r="P61" i="3"/>
  <c r="P62" i="3"/>
  <c r="P63" i="3"/>
  <c r="P64" i="3"/>
  <c r="P65" i="3"/>
  <c r="P66" i="3"/>
  <c r="P67" i="3"/>
  <c r="P68" i="3"/>
  <c r="P69" i="3"/>
  <c r="P70" i="3"/>
  <c r="P71" i="3"/>
  <c r="P72" i="3"/>
  <c r="P73" i="3"/>
  <c r="P74" i="3"/>
  <c r="P75" i="3"/>
  <c r="P76" i="3"/>
  <c r="P77" i="3"/>
  <c r="P78" i="3"/>
  <c r="P79" i="3"/>
  <c r="P80" i="3"/>
  <c r="P81" i="3"/>
  <c r="P82" i="3"/>
  <c r="P83" i="3"/>
  <c r="P84" i="3"/>
  <c r="P85" i="3"/>
  <c r="P86" i="3"/>
  <c r="P87" i="3"/>
  <c r="P88" i="3"/>
  <c r="P89" i="3"/>
  <c r="P90" i="3"/>
  <c r="P91" i="3"/>
  <c r="P92" i="3"/>
  <c r="P93" i="3"/>
  <c r="P94" i="3"/>
  <c r="P95" i="3"/>
  <c r="P96" i="3"/>
  <c r="P97" i="3"/>
  <c r="P98" i="3"/>
  <c r="P99" i="3"/>
  <c r="P100" i="3"/>
  <c r="P101" i="3"/>
  <c r="P102" i="3"/>
  <c r="P103" i="3"/>
  <c r="O4" i="3"/>
  <c r="O5" i="3"/>
  <c r="O6" i="3"/>
  <c r="O7" i="3"/>
  <c r="O8" i="3"/>
  <c r="O9" i="3"/>
  <c r="O10" i="3"/>
  <c r="O11" i="3"/>
  <c r="O12" i="3"/>
  <c r="O13" i="3"/>
  <c r="O14" i="3"/>
  <c r="O15" i="3"/>
  <c r="O16" i="3"/>
  <c r="O17" i="3"/>
  <c r="O18" i="3"/>
  <c r="O19" i="3"/>
  <c r="O20" i="3"/>
  <c r="O21" i="3"/>
  <c r="O22" i="3"/>
  <c r="O23" i="3"/>
  <c r="O24" i="3"/>
  <c r="O25" i="3"/>
  <c r="O26" i="3"/>
  <c r="O27" i="3"/>
  <c r="O28" i="3"/>
  <c r="O29" i="3"/>
  <c r="O30" i="3"/>
  <c r="O31" i="3"/>
  <c r="O32" i="3"/>
  <c r="O33" i="3"/>
  <c r="O34" i="3"/>
  <c r="O35" i="3"/>
  <c r="O36" i="3"/>
  <c r="O37" i="3"/>
  <c r="O38" i="3"/>
  <c r="O39" i="3"/>
  <c r="O40" i="3"/>
  <c r="O41" i="3"/>
  <c r="O42" i="3"/>
  <c r="O43" i="3"/>
  <c r="O44" i="3"/>
  <c r="O45" i="3"/>
  <c r="O46" i="3"/>
  <c r="O47" i="3"/>
  <c r="O48" i="3"/>
  <c r="O49" i="3"/>
  <c r="O50" i="3"/>
  <c r="O51" i="3"/>
  <c r="O52" i="3"/>
  <c r="O53" i="3"/>
  <c r="O54" i="3"/>
  <c r="O55" i="3"/>
  <c r="O56" i="3"/>
  <c r="O57" i="3"/>
  <c r="O58" i="3"/>
  <c r="O59" i="3"/>
  <c r="O60" i="3"/>
  <c r="O61" i="3"/>
  <c r="O62" i="3"/>
  <c r="O63" i="3"/>
  <c r="O64" i="3"/>
  <c r="O65" i="3"/>
  <c r="O66" i="3"/>
  <c r="O67" i="3"/>
  <c r="O68" i="3"/>
  <c r="O69" i="3"/>
  <c r="O70" i="3"/>
  <c r="O71" i="3"/>
  <c r="O72" i="3"/>
  <c r="O73" i="3"/>
  <c r="O74" i="3"/>
  <c r="O75" i="3"/>
  <c r="O76" i="3"/>
  <c r="O77" i="3"/>
  <c r="O78" i="3"/>
  <c r="O79" i="3"/>
  <c r="O80" i="3"/>
  <c r="O81" i="3"/>
  <c r="O82" i="3"/>
  <c r="O83" i="3"/>
  <c r="O84" i="3"/>
  <c r="O85" i="3"/>
  <c r="O86" i="3"/>
  <c r="O87" i="3"/>
  <c r="O88" i="3"/>
  <c r="O89" i="3"/>
  <c r="O90" i="3"/>
  <c r="O91" i="3"/>
  <c r="O92" i="3"/>
  <c r="O93" i="3"/>
  <c r="O94" i="3"/>
  <c r="O95" i="3"/>
  <c r="O96" i="3"/>
  <c r="O97" i="3"/>
  <c r="O98" i="3"/>
  <c r="O99" i="3"/>
  <c r="O100" i="3"/>
  <c r="O101" i="3"/>
  <c r="O102" i="3"/>
  <c r="O103" i="3"/>
  <c r="N4" i="3"/>
  <c r="N5" i="3"/>
  <c r="N6" i="3"/>
  <c r="N7" i="3"/>
  <c r="N8" i="3"/>
  <c r="N9" i="3"/>
  <c r="N10" i="3"/>
  <c r="N11" i="3"/>
  <c r="N12" i="3"/>
  <c r="N13" i="3"/>
  <c r="N14" i="3"/>
  <c r="N15" i="3"/>
  <c r="N16" i="3"/>
  <c r="N17" i="3"/>
  <c r="N18" i="3"/>
  <c r="N19" i="3"/>
  <c r="N20" i="3"/>
  <c r="N21" i="3"/>
  <c r="N22" i="3"/>
  <c r="N23" i="3"/>
  <c r="N24" i="3"/>
  <c r="N25" i="3"/>
  <c r="N26" i="3"/>
  <c r="N27" i="3"/>
  <c r="N28" i="3"/>
  <c r="N29" i="3"/>
  <c r="N30" i="3"/>
  <c r="N31" i="3"/>
  <c r="N32" i="3"/>
  <c r="N33" i="3"/>
  <c r="N34" i="3"/>
  <c r="N35" i="3"/>
  <c r="N36" i="3"/>
  <c r="N37" i="3"/>
  <c r="N38" i="3"/>
  <c r="N39" i="3"/>
  <c r="N40" i="3"/>
  <c r="N41" i="3"/>
  <c r="N42" i="3"/>
  <c r="N43" i="3"/>
  <c r="N44" i="3"/>
  <c r="N45" i="3"/>
  <c r="N46" i="3"/>
  <c r="N47" i="3"/>
  <c r="N48" i="3"/>
  <c r="N49" i="3"/>
  <c r="N50" i="3"/>
  <c r="N51" i="3"/>
  <c r="N52" i="3"/>
  <c r="N53" i="3"/>
  <c r="N54" i="3"/>
  <c r="N55" i="3"/>
  <c r="N56" i="3"/>
  <c r="N57" i="3"/>
  <c r="N58" i="3"/>
  <c r="N59" i="3"/>
  <c r="N60" i="3"/>
  <c r="N61" i="3"/>
  <c r="N62" i="3"/>
  <c r="N63" i="3"/>
  <c r="N64" i="3"/>
  <c r="N65" i="3"/>
  <c r="N66" i="3"/>
  <c r="N67" i="3"/>
  <c r="N68" i="3"/>
  <c r="N69" i="3"/>
  <c r="N70" i="3"/>
  <c r="N71" i="3"/>
  <c r="N72" i="3"/>
  <c r="N73" i="3"/>
  <c r="N74" i="3"/>
  <c r="N75" i="3"/>
  <c r="N76" i="3"/>
  <c r="N77" i="3"/>
  <c r="N78" i="3"/>
  <c r="N79" i="3"/>
  <c r="N80" i="3"/>
  <c r="N81" i="3"/>
  <c r="N82" i="3"/>
  <c r="N83" i="3"/>
  <c r="N84" i="3"/>
  <c r="N85" i="3"/>
  <c r="N86" i="3"/>
  <c r="N87" i="3"/>
  <c r="N88" i="3"/>
  <c r="N89" i="3"/>
  <c r="N90" i="3"/>
  <c r="N91" i="3"/>
  <c r="N92" i="3"/>
  <c r="N93" i="3"/>
  <c r="N94" i="3"/>
  <c r="N95" i="3"/>
  <c r="N96" i="3"/>
  <c r="N97" i="3"/>
  <c r="N98" i="3"/>
  <c r="N99" i="3"/>
  <c r="N100" i="3"/>
  <c r="N101" i="3"/>
  <c r="N102" i="3"/>
  <c r="N103" i="3"/>
  <c r="M4" i="3"/>
  <c r="M5" i="3"/>
  <c r="M6" i="3"/>
  <c r="M7" i="3"/>
  <c r="M8" i="3"/>
  <c r="M9" i="3"/>
  <c r="M10" i="3"/>
  <c r="M11" i="3"/>
  <c r="M12" i="3"/>
  <c r="M13" i="3"/>
  <c r="M14" i="3"/>
  <c r="M15" i="3"/>
  <c r="M16" i="3"/>
  <c r="M17" i="3"/>
  <c r="M18" i="3"/>
  <c r="M19" i="3"/>
  <c r="M20" i="3"/>
  <c r="M21" i="3"/>
  <c r="M22" i="3"/>
  <c r="M23" i="3"/>
  <c r="M24" i="3"/>
  <c r="M25" i="3"/>
  <c r="M26" i="3"/>
  <c r="M27" i="3"/>
  <c r="M28" i="3"/>
  <c r="M29" i="3"/>
  <c r="M30" i="3"/>
  <c r="M31" i="3"/>
  <c r="M32" i="3"/>
  <c r="M33" i="3"/>
  <c r="M34" i="3"/>
  <c r="M35" i="3"/>
  <c r="M36" i="3"/>
  <c r="M37" i="3"/>
  <c r="M38" i="3"/>
  <c r="M39" i="3"/>
  <c r="M40" i="3"/>
  <c r="M41" i="3"/>
  <c r="M42" i="3"/>
  <c r="M43" i="3"/>
  <c r="M44" i="3"/>
  <c r="M45" i="3"/>
  <c r="M46" i="3"/>
  <c r="M47" i="3"/>
  <c r="M48" i="3"/>
  <c r="M49" i="3"/>
  <c r="M50" i="3"/>
  <c r="M51" i="3"/>
  <c r="M52" i="3"/>
  <c r="M53" i="3"/>
  <c r="M54" i="3"/>
  <c r="M55" i="3"/>
  <c r="M56" i="3"/>
  <c r="M57" i="3"/>
  <c r="M58" i="3"/>
  <c r="M59" i="3"/>
  <c r="M60" i="3"/>
  <c r="M61" i="3"/>
  <c r="M62" i="3"/>
  <c r="M63" i="3"/>
  <c r="M64" i="3"/>
  <c r="M65" i="3"/>
  <c r="M66" i="3"/>
  <c r="M67" i="3"/>
  <c r="M68" i="3"/>
  <c r="M69" i="3"/>
  <c r="M70" i="3"/>
  <c r="M71" i="3"/>
  <c r="M72" i="3"/>
  <c r="M73" i="3"/>
  <c r="M74" i="3"/>
  <c r="M75" i="3"/>
  <c r="M76" i="3"/>
  <c r="M77" i="3"/>
  <c r="M78" i="3"/>
  <c r="M79" i="3"/>
  <c r="M80" i="3"/>
  <c r="M81" i="3"/>
  <c r="M82" i="3"/>
  <c r="M83" i="3"/>
  <c r="M84" i="3"/>
  <c r="M85" i="3"/>
  <c r="M86" i="3"/>
  <c r="M87" i="3"/>
  <c r="M88" i="3"/>
  <c r="M89" i="3"/>
  <c r="M90" i="3"/>
  <c r="M91" i="3"/>
  <c r="M92" i="3"/>
  <c r="M93" i="3"/>
  <c r="M94" i="3"/>
  <c r="M95" i="3"/>
  <c r="M96" i="3"/>
  <c r="M97" i="3"/>
  <c r="M98" i="3"/>
  <c r="M99" i="3"/>
  <c r="M100" i="3"/>
  <c r="M101" i="3"/>
  <c r="M102" i="3"/>
  <c r="M103" i="3"/>
  <c r="L5" i="3"/>
  <c r="L6" i="3"/>
  <c r="L7" i="3"/>
  <c r="L8" i="3"/>
  <c r="L9" i="3"/>
  <c r="L10" i="3"/>
  <c r="L11" i="3"/>
  <c r="L12" i="3"/>
  <c r="L13" i="3"/>
  <c r="L14" i="3"/>
  <c r="L15" i="3"/>
  <c r="L16" i="3"/>
  <c r="L17" i="3"/>
  <c r="L18" i="3"/>
  <c r="L19" i="3"/>
  <c r="L20" i="3"/>
  <c r="L21" i="3"/>
  <c r="L22" i="3"/>
  <c r="L23" i="3"/>
  <c r="L24" i="3"/>
  <c r="L25" i="3"/>
  <c r="L26" i="3"/>
  <c r="L27" i="3"/>
  <c r="L28" i="3"/>
  <c r="L29" i="3"/>
  <c r="L30" i="3"/>
  <c r="L31" i="3"/>
  <c r="L32" i="3"/>
  <c r="L33" i="3"/>
  <c r="L34" i="3"/>
  <c r="L35" i="3"/>
  <c r="L36" i="3"/>
  <c r="L37" i="3"/>
  <c r="L38" i="3"/>
  <c r="L39" i="3"/>
  <c r="L40" i="3"/>
  <c r="L41" i="3"/>
  <c r="L42" i="3"/>
  <c r="L43" i="3"/>
  <c r="L44" i="3"/>
  <c r="L45" i="3"/>
  <c r="L46" i="3"/>
  <c r="L47" i="3"/>
  <c r="L48" i="3"/>
  <c r="L49" i="3"/>
  <c r="L50" i="3"/>
  <c r="L51" i="3"/>
  <c r="L52" i="3"/>
  <c r="L53" i="3"/>
  <c r="L54" i="3"/>
  <c r="L55" i="3"/>
  <c r="L56" i="3"/>
  <c r="L57" i="3"/>
  <c r="L58" i="3"/>
  <c r="L59" i="3"/>
  <c r="L60" i="3"/>
  <c r="L61" i="3"/>
  <c r="L62" i="3"/>
  <c r="L63" i="3"/>
  <c r="L64" i="3"/>
  <c r="L65" i="3"/>
  <c r="L66" i="3"/>
  <c r="L67" i="3"/>
  <c r="L68" i="3"/>
  <c r="L69" i="3"/>
  <c r="L70" i="3"/>
  <c r="L71" i="3"/>
  <c r="L72" i="3"/>
  <c r="L73" i="3"/>
  <c r="L74" i="3"/>
  <c r="L75" i="3"/>
  <c r="L76" i="3"/>
  <c r="L77" i="3"/>
  <c r="L78" i="3"/>
  <c r="L79" i="3"/>
  <c r="L80" i="3"/>
  <c r="L81" i="3"/>
  <c r="L82" i="3"/>
  <c r="L83" i="3"/>
  <c r="L84" i="3"/>
  <c r="L85" i="3"/>
  <c r="L86" i="3"/>
  <c r="L87" i="3"/>
  <c r="L88" i="3"/>
  <c r="L89" i="3"/>
  <c r="L90" i="3"/>
  <c r="L91" i="3"/>
  <c r="L92" i="3"/>
  <c r="L93" i="3"/>
  <c r="L94" i="3"/>
  <c r="L95" i="3"/>
  <c r="L96" i="3"/>
  <c r="L97" i="3"/>
  <c r="L98" i="3"/>
  <c r="L99" i="3"/>
  <c r="L100" i="3"/>
  <c r="L101" i="3"/>
  <c r="L102" i="3"/>
  <c r="L103" i="3"/>
  <c r="K4" i="3"/>
  <c r="K5" i="3"/>
  <c r="K6" i="3"/>
  <c r="K7" i="3"/>
  <c r="K8" i="3"/>
  <c r="K9" i="3"/>
  <c r="K10" i="3"/>
  <c r="K11" i="3"/>
  <c r="K12" i="3"/>
  <c r="K13" i="3"/>
  <c r="K14" i="3"/>
  <c r="K15" i="3"/>
  <c r="K16" i="3"/>
  <c r="K17" i="3"/>
  <c r="K18" i="3"/>
  <c r="K19" i="3"/>
  <c r="K20" i="3"/>
  <c r="K21" i="3"/>
  <c r="K22" i="3"/>
  <c r="K23" i="3"/>
  <c r="K24" i="3"/>
  <c r="K25" i="3"/>
  <c r="K26" i="3"/>
  <c r="K27" i="3"/>
  <c r="K28" i="3"/>
  <c r="K29" i="3"/>
  <c r="K30" i="3"/>
  <c r="K31" i="3"/>
  <c r="K32" i="3"/>
  <c r="K33" i="3"/>
  <c r="K34" i="3"/>
  <c r="K35" i="3"/>
  <c r="K36" i="3"/>
  <c r="K37" i="3"/>
  <c r="K38" i="3"/>
  <c r="K39" i="3"/>
  <c r="K40" i="3"/>
  <c r="K41" i="3"/>
  <c r="K42" i="3"/>
  <c r="K43" i="3"/>
  <c r="K44" i="3"/>
  <c r="K45" i="3"/>
  <c r="K46" i="3"/>
  <c r="K47" i="3"/>
  <c r="K48" i="3"/>
  <c r="K49" i="3"/>
  <c r="K50" i="3"/>
  <c r="K51" i="3"/>
  <c r="K52" i="3"/>
  <c r="K53" i="3"/>
  <c r="K54" i="3"/>
  <c r="K55" i="3"/>
  <c r="K56" i="3"/>
  <c r="K57" i="3"/>
  <c r="K58" i="3"/>
  <c r="K59" i="3"/>
  <c r="K60" i="3"/>
  <c r="K61" i="3"/>
  <c r="K62" i="3"/>
  <c r="K63" i="3"/>
  <c r="K64" i="3"/>
  <c r="K65" i="3"/>
  <c r="K66" i="3"/>
  <c r="K67" i="3"/>
  <c r="K68" i="3"/>
  <c r="K69" i="3"/>
  <c r="K70" i="3"/>
  <c r="K71" i="3"/>
  <c r="K72" i="3"/>
  <c r="K73" i="3"/>
  <c r="K74" i="3"/>
  <c r="K75" i="3"/>
  <c r="K76" i="3"/>
  <c r="K77" i="3"/>
  <c r="K78" i="3"/>
  <c r="K79" i="3"/>
  <c r="K80" i="3"/>
  <c r="K81" i="3"/>
  <c r="K82" i="3"/>
  <c r="K83" i="3"/>
  <c r="K84" i="3"/>
  <c r="K85" i="3"/>
  <c r="K86" i="3"/>
  <c r="K87" i="3"/>
  <c r="K88" i="3"/>
  <c r="K89" i="3"/>
  <c r="K90" i="3"/>
  <c r="K91" i="3"/>
  <c r="K92" i="3"/>
  <c r="K93" i="3"/>
  <c r="K94" i="3"/>
  <c r="K95" i="3"/>
  <c r="K96" i="3"/>
  <c r="K97" i="3"/>
  <c r="K98" i="3"/>
  <c r="K99" i="3"/>
  <c r="K100" i="3"/>
  <c r="K101" i="3"/>
  <c r="K102" i="3"/>
  <c r="K103" i="3"/>
  <c r="J4" i="3"/>
  <c r="J5" i="3"/>
  <c r="J6" i="3"/>
  <c r="J7" i="3"/>
  <c r="J8" i="3"/>
  <c r="J9" i="3"/>
  <c r="J10" i="3"/>
  <c r="J11" i="3"/>
  <c r="J12" i="3"/>
  <c r="J13" i="3"/>
  <c r="J14" i="3"/>
  <c r="J15" i="3"/>
  <c r="J16" i="3"/>
  <c r="J17" i="3"/>
  <c r="J18" i="3"/>
  <c r="J19" i="3"/>
  <c r="J20" i="3"/>
  <c r="J21" i="3"/>
  <c r="J22" i="3"/>
  <c r="J23" i="3"/>
  <c r="J24" i="3"/>
  <c r="J25" i="3"/>
  <c r="J26" i="3"/>
  <c r="J27" i="3"/>
  <c r="J28" i="3"/>
  <c r="J29" i="3"/>
  <c r="J30" i="3"/>
  <c r="J31" i="3"/>
  <c r="J32" i="3"/>
  <c r="J33" i="3"/>
  <c r="J34" i="3"/>
  <c r="J35" i="3"/>
  <c r="J36" i="3"/>
  <c r="J37" i="3"/>
  <c r="J38" i="3"/>
  <c r="J39" i="3"/>
  <c r="J40" i="3"/>
  <c r="J41" i="3"/>
  <c r="J42" i="3"/>
  <c r="J43" i="3"/>
  <c r="J44" i="3"/>
  <c r="J45" i="3"/>
  <c r="J46" i="3"/>
  <c r="J47" i="3"/>
  <c r="J48" i="3"/>
  <c r="J49" i="3"/>
  <c r="J50" i="3"/>
  <c r="J51" i="3"/>
  <c r="J52" i="3"/>
  <c r="J53" i="3"/>
  <c r="J54" i="3"/>
  <c r="J55" i="3"/>
  <c r="J56" i="3"/>
  <c r="J57" i="3"/>
  <c r="J58" i="3"/>
  <c r="J59" i="3"/>
  <c r="J60" i="3"/>
  <c r="J61" i="3"/>
  <c r="J62" i="3"/>
  <c r="J63" i="3"/>
  <c r="J64" i="3"/>
  <c r="J65" i="3"/>
  <c r="J66" i="3"/>
  <c r="J67" i="3"/>
  <c r="J68" i="3"/>
  <c r="J69" i="3"/>
  <c r="J70" i="3"/>
  <c r="J71" i="3"/>
  <c r="J72" i="3"/>
  <c r="J73" i="3"/>
  <c r="J74" i="3"/>
  <c r="J75" i="3"/>
  <c r="J76" i="3"/>
  <c r="J77" i="3"/>
  <c r="J78" i="3"/>
  <c r="J79" i="3"/>
  <c r="J80" i="3"/>
  <c r="J81" i="3"/>
  <c r="J82" i="3"/>
  <c r="J83" i="3"/>
  <c r="J84" i="3"/>
  <c r="J85" i="3"/>
  <c r="J86" i="3"/>
  <c r="J87" i="3"/>
  <c r="J88" i="3"/>
  <c r="J89" i="3"/>
  <c r="J90" i="3"/>
  <c r="J91" i="3"/>
  <c r="J92" i="3"/>
  <c r="J93" i="3"/>
  <c r="J94" i="3"/>
  <c r="J95" i="3"/>
  <c r="J96" i="3"/>
  <c r="J97" i="3"/>
  <c r="J98" i="3"/>
  <c r="J99" i="3"/>
  <c r="J100" i="3"/>
  <c r="J101" i="3"/>
  <c r="J102" i="3"/>
  <c r="J103" i="3"/>
  <c r="I4" i="3"/>
  <c r="I5" i="3"/>
  <c r="I6" i="3"/>
  <c r="I7" i="3"/>
  <c r="I8" i="3"/>
  <c r="I9" i="3"/>
  <c r="I10" i="3"/>
  <c r="I11" i="3"/>
  <c r="I12" i="3"/>
  <c r="I13" i="3"/>
  <c r="I14" i="3"/>
  <c r="I15" i="3"/>
  <c r="I16" i="3"/>
  <c r="I17" i="3"/>
  <c r="I18" i="3"/>
  <c r="I19" i="3"/>
  <c r="I20" i="3"/>
  <c r="I21" i="3"/>
  <c r="I22" i="3"/>
  <c r="I23" i="3"/>
  <c r="I24" i="3"/>
  <c r="I25" i="3"/>
  <c r="I26" i="3"/>
  <c r="I27" i="3"/>
  <c r="I28" i="3"/>
  <c r="I29" i="3"/>
  <c r="I30" i="3"/>
  <c r="I31" i="3"/>
  <c r="I32" i="3"/>
  <c r="I33" i="3"/>
  <c r="I34" i="3"/>
  <c r="I35" i="3"/>
  <c r="I36" i="3"/>
  <c r="I37" i="3"/>
  <c r="I38" i="3"/>
  <c r="I39" i="3"/>
  <c r="I40" i="3"/>
  <c r="I41" i="3"/>
  <c r="I42" i="3"/>
  <c r="I43" i="3"/>
  <c r="I44" i="3"/>
  <c r="I45" i="3"/>
  <c r="I46" i="3"/>
  <c r="I47" i="3"/>
  <c r="I48" i="3"/>
  <c r="I49" i="3"/>
  <c r="I50" i="3"/>
  <c r="I51" i="3"/>
  <c r="I52" i="3"/>
  <c r="I53" i="3"/>
  <c r="I54" i="3"/>
  <c r="I55" i="3"/>
  <c r="I56" i="3"/>
  <c r="I57" i="3"/>
  <c r="I58" i="3"/>
  <c r="I59" i="3"/>
  <c r="I60" i="3"/>
  <c r="I61" i="3"/>
  <c r="I62" i="3"/>
  <c r="I63" i="3"/>
  <c r="I64" i="3"/>
  <c r="I65" i="3"/>
  <c r="I66" i="3"/>
  <c r="I67" i="3"/>
  <c r="I68" i="3"/>
  <c r="I69" i="3"/>
  <c r="I70" i="3"/>
  <c r="I71" i="3"/>
  <c r="I72" i="3"/>
  <c r="I73" i="3"/>
  <c r="I74" i="3"/>
  <c r="I75" i="3"/>
  <c r="I76" i="3"/>
  <c r="I77" i="3"/>
  <c r="I78" i="3"/>
  <c r="I79" i="3"/>
  <c r="I80" i="3"/>
  <c r="I81" i="3"/>
  <c r="I82" i="3"/>
  <c r="I83" i="3"/>
  <c r="I84" i="3"/>
  <c r="I85" i="3"/>
  <c r="I86" i="3"/>
  <c r="I87" i="3"/>
  <c r="I88" i="3"/>
  <c r="I89" i="3"/>
  <c r="I90" i="3"/>
  <c r="I91" i="3"/>
  <c r="I92" i="3"/>
  <c r="I93" i="3"/>
  <c r="I94" i="3"/>
  <c r="I95" i="3"/>
  <c r="I96" i="3"/>
  <c r="I97" i="3"/>
  <c r="I98" i="3"/>
  <c r="I99" i="3"/>
  <c r="I100" i="3"/>
  <c r="I101" i="3"/>
  <c r="I102" i="3"/>
  <c r="I103" i="3"/>
  <c r="Z17" i="6" l="1"/>
  <c r="Z15" i="6"/>
  <c r="Z16" i="6" l="1"/>
  <c r="U9" i="6" l="1"/>
  <c r="P9" i="6"/>
  <c r="Z10" i="6" l="1"/>
  <c r="Z13" i="6" l="1"/>
  <c r="Z25" i="6"/>
  <c r="K12" i="6" l="1"/>
  <c r="Z20" i="6"/>
  <c r="U12" i="6" l="1"/>
  <c r="U27" i="6" s="1"/>
  <c r="P12" i="6"/>
  <c r="P27" i="6" s="1"/>
  <c r="K9" i="6"/>
  <c r="Z11" i="6"/>
  <c r="K27" i="6" l="1"/>
  <c r="Z9" i="6"/>
  <c r="Z14" i="6"/>
  <c r="U31" i="6" l="1"/>
  <c r="Z33" i="6" l="1"/>
  <c r="U35" i="6"/>
  <c r="U34" i="6" s="1"/>
  <c r="P31" i="6"/>
  <c r="P35" i="6" l="1"/>
  <c r="P34" i="6" s="1"/>
  <c r="Z12" i="6" l="1"/>
  <c r="Z27" i="6" s="1"/>
  <c r="Z28" i="6" l="1"/>
  <c r="K31" i="6"/>
  <c r="Z31" i="6" l="1"/>
  <c r="Z29" i="6"/>
  <c r="K35" i="6" l="1"/>
  <c r="K34" i="6" s="1"/>
  <c r="Z35" i="6" l="1"/>
  <c r="Z34" i="6"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<sst xmlns="http://schemas.openxmlformats.org/spreadsheetml/2006/main" count="819" uniqueCount="378">
  <si>
    <t>Northern Arizona University Office of Sponsored Project *NEW* Budget Template</t>
  </si>
  <si>
    <t>Start Here</t>
  </si>
  <si>
    <t>This tab has instructions about how to use the budget template.</t>
  </si>
  <si>
    <t xml:space="preserve"> It also includes a calculator for "person months" (i.e. effort) calculations</t>
  </si>
  <si>
    <t>Budget Details</t>
  </si>
  <si>
    <r>
      <t xml:space="preserve">This tab is the </t>
    </r>
    <r>
      <rPr>
        <i/>
        <u/>
        <sz val="11"/>
        <rFont val="Aptos Black"/>
        <family val="2"/>
      </rPr>
      <t>MAIN</t>
    </r>
    <r>
      <rPr>
        <i/>
        <sz val="11"/>
        <color rgb="FF7F7F7F"/>
        <rFont val="Aptos Black"/>
        <family val="2"/>
      </rPr>
      <t xml:space="preserve"> tab. This will house a 3</t>
    </r>
    <r>
      <rPr>
        <b/>
        <i/>
        <u/>
        <sz val="11"/>
        <color rgb="FF7F7F7F"/>
        <rFont val="Aptos Black"/>
        <family val="2"/>
      </rPr>
      <t>-year</t>
    </r>
    <r>
      <rPr>
        <i/>
        <sz val="11"/>
        <color rgb="FF7F7F7F"/>
        <rFont val="Aptos Black"/>
        <family val="2"/>
      </rPr>
      <t xml:space="preserve"> budget period with cost share details included. </t>
    </r>
  </si>
  <si>
    <r>
      <t xml:space="preserve">If you are working with fewer years, </t>
    </r>
    <r>
      <rPr>
        <i/>
        <u/>
        <sz val="11"/>
        <rFont val="Aptos Black"/>
        <family val="2"/>
      </rPr>
      <t>do not delete any unused column + rows; just hide it</t>
    </r>
    <r>
      <rPr>
        <i/>
        <sz val="11"/>
        <rFont val="Aptos Black"/>
        <family val="2"/>
      </rPr>
      <t>.</t>
    </r>
    <r>
      <rPr>
        <i/>
        <sz val="11"/>
        <color rgb="FF7F7F7F"/>
        <rFont val="Aptos Black"/>
        <family val="2"/>
      </rPr>
      <t xml:space="preserve"> </t>
    </r>
  </si>
  <si>
    <t>Refrain from deleting cells as most cells are interconnected. If you do not need a particular cell, just hide it.</t>
  </si>
  <si>
    <t xml:space="preserve">Easy groupings have been created to hide categories that are not frequently used. </t>
  </si>
  <si>
    <t xml:space="preserve">Cumulative </t>
  </si>
  <si>
    <t xml:space="preserve">This tab shows you a complete summary of the budget. Use this tab to check and verify the overall cost of the budget. </t>
  </si>
  <si>
    <t>This will also include the total percentage of the COST SHARE totals from the requested budget</t>
  </si>
  <si>
    <t>Travel calculator</t>
  </si>
  <si>
    <t>This tab has a built in calculator to help calculate any travel for the project.</t>
  </si>
  <si>
    <t xml:space="preserve">It include links to the Travel policy as well as some frequently used rates. </t>
  </si>
  <si>
    <t>Rates</t>
  </si>
  <si>
    <t>This tab includes a few NAU rates which is linked to the Budget Details Page.</t>
  </si>
  <si>
    <t>This tab is hidden</t>
  </si>
  <si>
    <t>Summary of personnel costs</t>
  </si>
  <si>
    <t xml:space="preserve">This tab has a summary of the salay &amp; fringe totals for each personnel in the budget details. </t>
  </si>
  <si>
    <r>
      <t xml:space="preserve">like the budget details tab, it is seperated into direct and cost share section. </t>
    </r>
    <r>
      <rPr>
        <i/>
        <u/>
        <sz val="11"/>
        <color rgb="FF7F7F7F"/>
        <rFont val="Aptos Black"/>
        <family val="2"/>
      </rPr>
      <t>This tab is hidden</t>
    </r>
  </si>
  <si>
    <t>Understanding the formatted cells</t>
  </si>
  <si>
    <r>
      <t>Cells with *</t>
    </r>
    <r>
      <rPr>
        <b/>
        <i/>
        <sz val="11"/>
        <color rgb="FF7F7F7F"/>
        <rFont val="Aptos Display"/>
        <family val="2"/>
      </rPr>
      <t>Gold</t>
    </r>
    <r>
      <rPr>
        <i/>
        <sz val="11"/>
        <color rgb="FF7F7F7F"/>
        <rFont val="Aptos Display"/>
        <family val="2"/>
      </rPr>
      <t>*</t>
    </r>
  </si>
  <si>
    <t>background</t>
  </si>
  <si>
    <r>
      <t xml:space="preserve">are input cells. </t>
    </r>
    <r>
      <rPr>
        <b/>
        <i/>
        <sz val="11"/>
        <rFont val="Aptos Display"/>
        <family val="2"/>
      </rPr>
      <t xml:space="preserve">This is where you enter your data. </t>
    </r>
  </si>
  <si>
    <r>
      <t>Cells with *</t>
    </r>
    <r>
      <rPr>
        <b/>
        <i/>
        <sz val="11"/>
        <color rgb="FF7F7F7F"/>
        <rFont val="Aptos Display"/>
        <family val="2"/>
      </rPr>
      <t>Light Gray + Orange</t>
    </r>
    <r>
      <rPr>
        <i/>
        <sz val="11"/>
        <color rgb="FF7F7F7F"/>
        <rFont val="Aptos Display"/>
        <family val="2"/>
      </rPr>
      <t>*</t>
    </r>
  </si>
  <si>
    <t>background + wording</t>
  </si>
  <si>
    <r>
      <t xml:space="preserve">are cells with formulas which allow for automatic calculation. </t>
    </r>
    <r>
      <rPr>
        <i/>
        <sz val="11"/>
        <color rgb="FFFF0000"/>
        <rFont val="Aptos Display"/>
        <family val="2"/>
      </rPr>
      <t>Do not type anything in these cells</t>
    </r>
  </si>
  <si>
    <r>
      <t>Cells with *</t>
    </r>
    <r>
      <rPr>
        <b/>
        <i/>
        <sz val="11"/>
        <color rgb="FF7F7F7F"/>
        <rFont val="Aptos Display"/>
        <family val="2"/>
      </rPr>
      <t>Dark Red</t>
    </r>
    <r>
      <rPr>
        <i/>
        <sz val="11"/>
        <color rgb="FF7F7F7F"/>
        <rFont val="Aptos Display"/>
        <family val="2"/>
      </rPr>
      <t>*</t>
    </r>
  </si>
  <si>
    <t>words</t>
  </si>
  <si>
    <r>
      <t xml:space="preserve">Indicate a drop-down menu: </t>
    </r>
    <r>
      <rPr>
        <i/>
        <sz val="11"/>
        <color rgb="FFFF0000"/>
        <rFont val="Aptos Display"/>
        <family val="2"/>
      </rPr>
      <t xml:space="preserve">Do not type anything in these cells. </t>
    </r>
  </si>
  <si>
    <r>
      <t>Cells with *</t>
    </r>
    <r>
      <rPr>
        <b/>
        <i/>
        <sz val="11"/>
        <color rgb="FF7F7F7F"/>
        <rFont val="Aptos Display"/>
        <family val="2"/>
      </rPr>
      <t>White</t>
    </r>
    <r>
      <rPr>
        <i/>
        <sz val="11"/>
        <color rgb="FF7F7F7F"/>
        <rFont val="Aptos Display"/>
        <family val="2"/>
      </rPr>
      <t>*</t>
    </r>
  </si>
  <si>
    <t>background with  2 orange lines</t>
  </si>
  <si>
    <r>
      <t xml:space="preserve">are linked cells. The information in these cells will automatically populate.  </t>
    </r>
    <r>
      <rPr>
        <i/>
        <sz val="11"/>
        <color rgb="FFFF0000"/>
        <rFont val="Aptos Display"/>
        <family val="2"/>
      </rPr>
      <t>Do not type anything in these cells</t>
    </r>
  </si>
  <si>
    <r>
      <t>Cells with *</t>
    </r>
    <r>
      <rPr>
        <b/>
        <i/>
        <sz val="11"/>
        <color rgb="FF7F7F7F"/>
        <rFont val="Aptos Display"/>
        <family val="2"/>
      </rPr>
      <t>Dark Gray</t>
    </r>
    <r>
      <rPr>
        <i/>
        <sz val="11"/>
        <color rgb="FF7F7F7F"/>
        <rFont val="Aptos Display"/>
        <family val="2"/>
      </rPr>
      <t xml:space="preserve">* </t>
    </r>
  </si>
  <si>
    <r>
      <t xml:space="preserve">are output cells. This is where the total amounts will be reflected. </t>
    </r>
    <r>
      <rPr>
        <i/>
        <sz val="11"/>
        <color rgb="FFFF0000"/>
        <rFont val="Aptos Display"/>
        <family val="2"/>
      </rPr>
      <t>Do not type anything in these cells</t>
    </r>
  </si>
  <si>
    <t>Cells with *Light Blue text"</t>
  </si>
  <si>
    <t>Text</t>
  </si>
  <si>
    <t>are editable. You can add new information there. This is mostly in the 'Subreceipient' section and 'Other Direct Cost' section.</t>
  </si>
  <si>
    <t>Overriding formula(s)</t>
  </si>
  <si>
    <r>
      <t xml:space="preserve">Please refrain from overriding any formula in the budget template as this might </t>
    </r>
    <r>
      <rPr>
        <b/>
        <u/>
        <sz val="11"/>
        <color theme="0" tint="-0.499984740745262"/>
        <rFont val="Aptos"/>
        <family val="2"/>
      </rPr>
      <t>'break</t>
    </r>
    <r>
      <rPr>
        <b/>
        <sz val="11"/>
        <color theme="0" tint="-0.499984740745262"/>
        <rFont val="Aptos"/>
        <family val="2"/>
      </rPr>
      <t>' the budget.</t>
    </r>
  </si>
  <si>
    <t xml:space="preserve">If you are unsure about a particular calculation/formula, be sure to reach out to your Pre-award Administrator for help. </t>
  </si>
  <si>
    <t>e.g. If the you feel a formular in a cell is incorrect, reach out to your Pre-Award Administrator before making any changes</t>
  </si>
  <si>
    <t>IMPORTANT GENERAL INFORMATION</t>
  </si>
  <si>
    <t>Graduate Research Assistantship (GRA)</t>
  </si>
  <si>
    <t>Can be given to Masters or PHD student</t>
  </si>
  <si>
    <t xml:space="preserve">In order to award a full GRAship, the student will need to work 20 hours per week during the academic year (or .5 FTE, 4.385 person months, 760 hours). </t>
  </si>
  <si>
    <t xml:space="preserve">Full GRAship include salary, fringe, full tuition and health insurance benefits </t>
  </si>
  <si>
    <t xml:space="preserve">There are always unique cases with GRAs and awarding GRAship which can make budgeting a bit confusing so be sure to reach out to your Pre-Award Administrator for help. </t>
  </si>
  <si>
    <t>Indirect cost Calculation</t>
  </si>
  <si>
    <t>Modified Total Direct Costs (MTDC) vs. Total Direct Costs (TDC) base</t>
  </si>
  <si>
    <t>MTDC base</t>
  </si>
  <si>
    <t xml:space="preserve">consists of all salaries &amp; wages, fringe benefits, materials, supplies, service, travel and subgrants/subcontracts up to the first $25,000 of each subgrant/subcontract. </t>
  </si>
  <si>
    <t xml:space="preserve">excludes equipment, capital expenditures, charges of patient care, student tuition remission, rental costs of off-site facilities, scholarships and fellowships </t>
  </si>
  <si>
    <t>as well as the portion of each subgrant/subcontract in excess of $25,000</t>
  </si>
  <si>
    <t>TDC base</t>
  </si>
  <si>
    <t xml:space="preserve">includes all costs as direct cost to the project (including tuition remission, and all subcontract costs). </t>
  </si>
  <si>
    <t>There are no exclusions when using the TDC base for indirect cost calculation</t>
  </si>
  <si>
    <t>IMPORTANT</t>
  </si>
  <si>
    <t xml:space="preserve">If the indirect cost rate is limited by the sponsor to a rate lower than NAU's negotiated  rates, NAU prefers to use the TDC base for indirect cost calculations </t>
  </si>
  <si>
    <t xml:space="preserve">UNLESS otherwise specified by the sponsor. In that case, you can use the MTDC base for the indirect cost calculation. </t>
  </si>
  <si>
    <t xml:space="preserve">If you are confused by which base to use, kindly reach out to your Pre-Award Administrator for help. </t>
  </si>
  <si>
    <t>It is important to refrain from overriding any formula in the budget template as this might 'break' the budget.</t>
  </si>
  <si>
    <t xml:space="preserve"> If you are unsure about a particular calculation/formula, be sure to reach out to your Pre-award Administrator for help. </t>
  </si>
  <si>
    <t>Useful "Person Month" Calculator</t>
  </si>
  <si>
    <t xml:space="preserve">Important </t>
  </si>
  <si>
    <t xml:space="preserve">Use the calculator below to calculate the person month (i.e. effort) for each personnel. </t>
  </si>
  <si>
    <r>
      <t xml:space="preserve">This calculator can be used to calculate the 'effort' based on the total # of months </t>
    </r>
    <r>
      <rPr>
        <b/>
        <i/>
        <sz val="11"/>
        <color rgb="FF7F7F7F"/>
        <rFont val="Calibri"/>
        <family val="2"/>
        <scheme val="minor"/>
      </rPr>
      <t>(M)</t>
    </r>
    <r>
      <rPr>
        <i/>
        <sz val="11"/>
        <color rgb="FF7F7F7F"/>
        <rFont val="Calibri"/>
        <family val="2"/>
        <scheme val="minor"/>
      </rPr>
      <t xml:space="preserve">, weeks </t>
    </r>
    <r>
      <rPr>
        <b/>
        <i/>
        <sz val="11"/>
        <color rgb="FF7F7F7F"/>
        <rFont val="Calibri"/>
        <family val="2"/>
        <scheme val="minor"/>
      </rPr>
      <t>(W)</t>
    </r>
    <r>
      <rPr>
        <i/>
        <sz val="11"/>
        <color rgb="FF7F7F7F"/>
        <rFont val="Calibri"/>
        <family val="2"/>
        <scheme val="minor"/>
      </rPr>
      <t xml:space="preserve">, days </t>
    </r>
    <r>
      <rPr>
        <b/>
        <i/>
        <sz val="11"/>
        <color rgb="FF7F7F7F"/>
        <rFont val="Calibri"/>
        <family val="2"/>
        <scheme val="minor"/>
      </rPr>
      <t>(D)</t>
    </r>
    <r>
      <rPr>
        <i/>
        <sz val="11"/>
        <color rgb="FF7F7F7F"/>
        <rFont val="Calibri"/>
        <family val="2"/>
        <scheme val="minor"/>
      </rPr>
      <t xml:space="preserve">, and hours </t>
    </r>
    <r>
      <rPr>
        <b/>
        <i/>
        <sz val="11"/>
        <color rgb="FF7F7F7F"/>
        <rFont val="Calibri"/>
        <family val="2"/>
        <scheme val="minor"/>
      </rPr>
      <t>(H)</t>
    </r>
    <r>
      <rPr>
        <i/>
        <sz val="11"/>
        <color rgb="FF7F7F7F"/>
        <rFont val="Calibri"/>
        <family val="2"/>
        <scheme val="minor"/>
      </rPr>
      <t>.</t>
    </r>
  </si>
  <si>
    <t>It can also be used to convert a percentage of FTE to person month</t>
  </si>
  <si>
    <t xml:space="preserve">How to use </t>
  </si>
  <si>
    <r>
      <t>For each section, input the requested information in the</t>
    </r>
    <r>
      <rPr>
        <b/>
        <i/>
        <u/>
        <sz val="11"/>
        <color rgb="FFFBCF53"/>
        <rFont val="Calibri"/>
        <family val="2"/>
        <scheme val="minor"/>
      </rPr>
      <t xml:space="preserve"> gold field box</t>
    </r>
    <r>
      <rPr>
        <i/>
        <sz val="11"/>
        <color rgb="FF7F7F7F"/>
        <rFont val="Calibri"/>
        <family val="2"/>
        <scheme val="minor"/>
      </rPr>
      <t xml:space="preserve"> and then select from the  </t>
    </r>
    <r>
      <rPr>
        <b/>
        <i/>
        <u/>
        <sz val="11"/>
        <color theme="5" tint="-0.249977111117893"/>
        <rFont val="Calibri"/>
        <family val="2"/>
        <scheme val="minor"/>
      </rPr>
      <t>drop-down option</t>
    </r>
    <r>
      <rPr>
        <i/>
        <sz val="11"/>
        <color rgb="FF7F7F7F"/>
        <rFont val="Calibri"/>
        <family val="2"/>
        <scheme val="minor"/>
      </rPr>
      <t xml:space="preserve"> the correct appointment type. </t>
    </r>
  </si>
  <si>
    <r>
      <rPr>
        <b/>
        <i/>
        <sz val="11"/>
        <color rgb="FF7F7F7F"/>
        <rFont val="Calibri"/>
        <family val="2"/>
        <scheme val="minor"/>
      </rPr>
      <t>Finding "person-months" from the percentage of effort:</t>
    </r>
    <r>
      <rPr>
        <i/>
        <sz val="11"/>
        <color rgb="FF7F7F7F"/>
        <rFont val="Calibri"/>
        <family val="2"/>
        <scheme val="minor"/>
      </rPr>
      <t xml:space="preserve"> Multiply the percentage of your effort associated with the project X the number of months of your appointment</t>
    </r>
  </si>
  <si>
    <r>
      <rPr>
        <b/>
        <i/>
        <sz val="11"/>
        <color rgb="FF7F7F7F"/>
        <rFont val="Calibri"/>
        <family val="2"/>
        <scheme val="minor"/>
      </rPr>
      <t>Finding "person-months" from the hours PI is planning to work</t>
    </r>
    <r>
      <rPr>
        <i/>
        <sz val="11"/>
        <color rgb="FF7F7F7F"/>
        <rFont val="Calibri"/>
        <family val="2"/>
        <scheme val="minor"/>
      </rPr>
      <t>: total-hours-planning to work / total hours in appointment type X total months in appointment type</t>
    </r>
  </si>
  <si>
    <r>
      <rPr>
        <b/>
        <i/>
        <sz val="11"/>
        <color rgb="FF7F7F7F"/>
        <rFont val="Calibri"/>
        <family val="2"/>
        <scheme val="minor"/>
      </rPr>
      <t>Finding "person-months" from the number of week PI is planning to work:</t>
    </r>
    <r>
      <rPr>
        <i/>
        <sz val="11"/>
        <color rgb="FF7F7F7F"/>
        <rFont val="Calibri"/>
        <family val="2"/>
        <scheme val="minor"/>
      </rPr>
      <t xml:space="preserve"> total-weeks-planning to work/ total weeks in appointment type X total weeks in appointment type</t>
    </r>
  </si>
  <si>
    <t>Person Month Calculation Using Percentage of Effort</t>
  </si>
  <si>
    <t>% of effort</t>
  </si>
  <si>
    <t>Appointment type</t>
  </si>
  <si>
    <t>Person Month</t>
  </si>
  <si>
    <t>Person Month Calculation Using Hours</t>
  </si>
  <si>
    <t>Total Working Hours</t>
  </si>
  <si>
    <t>Appointment type - Hours</t>
  </si>
  <si>
    <t>Person Month Calculation Using Weeks</t>
  </si>
  <si>
    <t>Appointment type - Weeks</t>
  </si>
  <si>
    <t>Person Month Calculation Using Days</t>
  </si>
  <si>
    <t>Appointment type - Days</t>
  </si>
  <si>
    <t>FTE to Person Month Calculation</t>
  </si>
  <si>
    <t>FTE</t>
  </si>
  <si>
    <t>Person month</t>
  </si>
  <si>
    <t>Annualized Salary Calculation</t>
  </si>
  <si>
    <t>Base Salary</t>
  </si>
  <si>
    <t>Academic Months</t>
  </si>
  <si>
    <t>Annualized Salary</t>
  </si>
  <si>
    <t xml:space="preserve"> Work Period Calculations</t>
  </si>
  <si>
    <t>Months</t>
  </si>
  <si>
    <t>Weeks</t>
  </si>
  <si>
    <t>Days</t>
  </si>
  <si>
    <t>Hours</t>
  </si>
  <si>
    <t xml:space="preserve">Academic Year: </t>
  </si>
  <si>
    <t>Summer Months:</t>
  </si>
  <si>
    <t xml:space="preserve">Fiscal/ Calendar Year: </t>
  </si>
  <si>
    <t>NAU PROPOSAL BUDGET FORM</t>
  </si>
  <si>
    <t>Click + for Cost Share Details</t>
  </si>
  <si>
    <t>Principal Investigator</t>
  </si>
  <si>
    <t>Proposal Number:</t>
  </si>
  <si>
    <t>Proposal duration</t>
  </si>
  <si>
    <t xml:space="preserve">to </t>
  </si>
  <si>
    <t>Years</t>
  </si>
  <si>
    <t>YEAR 1</t>
  </si>
  <si>
    <t>YEAR 2</t>
  </si>
  <si>
    <t>YEAR 3</t>
  </si>
  <si>
    <t>TOTAL</t>
  </si>
  <si>
    <t xml:space="preserve">OVERALL COST Including Cost Share </t>
  </si>
  <si>
    <t xml:space="preserve">COST SHARE TOTAL </t>
  </si>
  <si>
    <t>SENIOR PERSONNEL Wages</t>
  </si>
  <si>
    <t>Salaries increase 3% per year</t>
  </si>
  <si>
    <t>SENIOR PERSONNEL Salary</t>
  </si>
  <si>
    <t>Name</t>
  </si>
  <si>
    <t>Role</t>
  </si>
  <si>
    <t>Contract Type 
(8.77 for an AY base &amp; 12 for CAL base)</t>
  </si>
  <si>
    <t>Y1 Person Month</t>
  </si>
  <si>
    <t>Y2 Person Month</t>
  </si>
  <si>
    <t>Y3 Person Month</t>
  </si>
  <si>
    <t xml:space="preserve">To get an accurate effort for each person per year, use the  the "person month calculator" below or on the  "START HERE" tab </t>
  </si>
  <si>
    <t>COST-yr. 1</t>
  </si>
  <si>
    <t>COST-yr. 2</t>
  </si>
  <si>
    <t>COST-yr. 3</t>
  </si>
  <si>
    <t>COST SHARE TOTAL</t>
  </si>
  <si>
    <t>To get an accurate effort for each person/year, use the "person month calculator" on the "START HERE" tab</t>
  </si>
  <si>
    <t>PI</t>
  </si>
  <si>
    <t>Co PI</t>
  </si>
  <si>
    <t>Senior Personnel</t>
  </si>
  <si>
    <t>appointment type</t>
  </si>
  <si>
    <t>person month</t>
  </si>
  <si>
    <t>Total Sr. Personnel Salary</t>
  </si>
  <si>
    <t>Total - Senior Personnel Salary</t>
  </si>
  <si>
    <t>OTHER PERSONNEL Wages</t>
  </si>
  <si>
    <t>OTHER PERSONNEL Salary/Wage</t>
  </si>
  <si>
    <t>#</t>
  </si>
  <si>
    <t>Role &amp; Name (if applicable)</t>
  </si>
  <si>
    <t>Hours per week</t>
  </si>
  <si>
    <t>Hourly Rate</t>
  </si>
  <si>
    <t>Monthly Salary</t>
  </si>
  <si>
    <t>Y1 # of Months</t>
  </si>
  <si>
    <t>Y2 # of  Months</t>
  </si>
  <si>
    <t>Y3 # of Months</t>
  </si>
  <si>
    <t>Y2 # of Months</t>
  </si>
  <si>
    <t>Research Assistant</t>
  </si>
  <si>
    <t>Post-Doc</t>
  </si>
  <si>
    <t xml:space="preserve">Undergrad - AY </t>
  </si>
  <si>
    <t>Undergrad - SM</t>
  </si>
  <si>
    <t>Temp Employee</t>
  </si>
  <si>
    <t>Student Worker</t>
  </si>
  <si>
    <t>Subtotal Oth. Personnel Salary</t>
  </si>
  <si>
    <t>Subtotal - Oth. Personnel Salary</t>
  </si>
  <si>
    <t>CLICK "+" to ADD GRAs
ALL GRADUATE RESEARCH ASSISTANT (GRAs) Salary</t>
  </si>
  <si>
    <t>ALL GRADUATE RESEARCH ASSISTANT (GRAs) Salary</t>
  </si>
  <si>
    <t># of</t>
  </si>
  <si>
    <t xml:space="preserve">Y1 Hrs. per week </t>
  </si>
  <si>
    <t>Y2 Hrs. per week</t>
  </si>
  <si>
    <t xml:space="preserve">Y3 Hrs. per week </t>
  </si>
  <si>
    <t>Y1 Hrs. Per Week</t>
  </si>
  <si>
    <t>Y2 Hrs. Per Week</t>
  </si>
  <si>
    <t>Y3 Hrs. Per Week</t>
  </si>
  <si>
    <t>GRA # 1</t>
  </si>
  <si>
    <t>Full year</t>
  </si>
  <si>
    <t>GRA # 0</t>
  </si>
  <si>
    <t>Fall</t>
  </si>
  <si>
    <t>Summer</t>
  </si>
  <si>
    <t>GRA #2</t>
  </si>
  <si>
    <t>GRA #1</t>
  </si>
  <si>
    <t>Spring</t>
  </si>
  <si>
    <t>GRA #3</t>
  </si>
  <si>
    <t>GRA #4</t>
  </si>
  <si>
    <t>GRA #5</t>
  </si>
  <si>
    <t>Subtotal GRA salary</t>
  </si>
  <si>
    <t>Subtotal GRA Salaries</t>
  </si>
  <si>
    <t>Total Other Personnel Salary</t>
  </si>
  <si>
    <t>Total Other Personal Salary</t>
  </si>
  <si>
    <t xml:space="preserve">SENIOR PERSONNEL Fringe </t>
  </si>
  <si>
    <t>ERE%</t>
  </si>
  <si>
    <t>Fringe Benefits are to be calculated based on the OSP Fringe Benefit Calculator for all NAU employees</t>
  </si>
  <si>
    <t>Total Sr Personnel Fringe</t>
  </si>
  <si>
    <t>Total Sr. Personnel Fringe</t>
  </si>
  <si>
    <t>OTHER PERSONNEL Fringe</t>
  </si>
  <si>
    <t>Subtotal Oth. Personnel Benefits</t>
  </si>
  <si>
    <t>CLICK "+" to ADD GRAs
ALL GRADUATE RESEARCH ASSISTANT (GRAs) Benefits</t>
  </si>
  <si>
    <t>ALL GRADUATE RESEARCH ASSISTANT (GRAs) Benefits</t>
  </si>
  <si>
    <t>Fringe Benefits are to be calculated based on the OSP Fringe Benefit Calculator for all NAU employees. 
For the GRA insurance, make sure to select the appropriate insurance type for each year based on the committed effort</t>
  </si>
  <si>
    <t>COST-y1</t>
  </si>
  <si>
    <t>COST-y2</t>
  </si>
  <si>
    <t>COST-y3</t>
  </si>
  <si>
    <t>GRA Insurance rates</t>
  </si>
  <si>
    <t>If other insurance amount, input -&gt;</t>
  </si>
  <si>
    <t>Subtotal Graduate Research Assistant Benefits</t>
  </si>
  <si>
    <t>CLICK "+" to ADD GRAs
ALL GRADUATE RESEARCH ASSISTANT (GRAs) Tuition Remission</t>
  </si>
  <si>
    <t>ALL GRADUATE RESEARCH ASSISTANT (GRAs) Tuition Remission</t>
  </si>
  <si>
    <t>Tuition Remission</t>
  </si>
  <si>
    <t>Rate</t>
  </si>
  <si>
    <t>if 20 hrs./week</t>
  </si>
  <si>
    <t xml:space="preserve"> if 10-19 hrs./week</t>
  </si>
  <si>
    <t>if 10-19 hrs./week</t>
  </si>
  <si>
    <t>Subtotal Graduate Research Assistant Tuition</t>
  </si>
  <si>
    <t>SubTotal Graduate Research Assistant Tuition</t>
  </si>
  <si>
    <t>Total Other Personnel Benefits + Tuition</t>
  </si>
  <si>
    <t>Total Other Personnel Fringe + Tuition</t>
  </si>
  <si>
    <t>EQUIPMENT</t>
  </si>
  <si>
    <t>Equipment</t>
  </si>
  <si>
    <t>Description</t>
  </si>
  <si>
    <t>EQUIPMENT - Description</t>
  </si>
  <si>
    <t>Total Equipment</t>
  </si>
  <si>
    <t>TRAVEL</t>
  </si>
  <si>
    <t>Type of Travel</t>
  </si>
  <si>
    <t xml:space="preserve">  Domestic</t>
  </si>
  <si>
    <t xml:space="preserve">  International</t>
  </si>
  <si>
    <t>Total Travel</t>
  </si>
  <si>
    <t>PARTICIPANT SUPPORT COSTS</t>
  </si>
  <si>
    <t xml:space="preserve">
Click+/- to show/hide PSC</t>
  </si>
  <si>
    <t>Amount per participant</t>
  </si>
  <si>
    <t># of Participants: Y1</t>
  </si>
  <si>
    <t>#of Participants: Y2</t>
  </si>
  <si>
    <t># of Participants: Y3</t>
  </si>
  <si>
    <t>Tuition/Fees/Health Insurance</t>
  </si>
  <si>
    <t>Stipends</t>
  </si>
  <si>
    <t>Travel</t>
  </si>
  <si>
    <t>Subsistence</t>
  </si>
  <si>
    <t>Other</t>
  </si>
  <si>
    <t>Total Participant Support Costs</t>
  </si>
  <si>
    <t>OTHER DIRECT COSTS</t>
  </si>
  <si>
    <t>Other Direct Costs</t>
  </si>
  <si>
    <t xml:space="preserve">  Material and Supplies</t>
  </si>
  <si>
    <t xml:space="preserve">  Consultant Services</t>
  </si>
  <si>
    <t xml:space="preserve">  Publishing</t>
  </si>
  <si>
    <t xml:space="preserve">  Publication Costs</t>
  </si>
  <si>
    <t xml:space="preserve">  Computer/Software Services</t>
  </si>
  <si>
    <t xml:space="preserve">  Facility Rental/User Fees</t>
  </si>
  <si>
    <t xml:space="preserve">  Alterations and Renovations</t>
  </si>
  <si>
    <t xml:space="preserve"> Other (including Human Subject Payments)</t>
  </si>
  <si>
    <t xml:space="preserve">  Other (Including Human subjects payments)</t>
  </si>
  <si>
    <t>Total Other Direct Costs</t>
  </si>
  <si>
    <t>SUBRECIPIENT</t>
  </si>
  <si>
    <t>COST SHARE SUBRECIPIENTS</t>
  </si>
  <si>
    <t>Subaward 1</t>
  </si>
  <si>
    <t>Amount</t>
  </si>
  <si>
    <t>&gt; $25K</t>
  </si>
  <si>
    <t>exempt from IDC</t>
  </si>
  <si>
    <t>Subaward 2</t>
  </si>
  <si>
    <t>Subaward 3</t>
  </si>
  <si>
    <t>Subaward 4</t>
  </si>
  <si>
    <t>Subaward 5</t>
  </si>
  <si>
    <t>ALL SUBAWARDS SUBTOTAL</t>
  </si>
  <si>
    <t>TOTAL DIRECT COSTS</t>
  </si>
  <si>
    <t>INDIRECT COSTS</t>
  </si>
  <si>
    <t>Indirect Cost Base</t>
  </si>
  <si>
    <t>Total Indirect Costs</t>
  </si>
  <si>
    <t>On-Campus Research</t>
  </si>
  <si>
    <t>if OTHER rate, type -&gt;</t>
  </si>
  <si>
    <t>Applying Unrecovered Indirect Cost to the budget will be counted as a Match/Cost Share to the Project. This only becomes applicable if and when it is allowed by the sponsor. The cost share portion of the budget has more information -&gt;</t>
  </si>
  <si>
    <t>Unrecovered Indirect Cost Calculation</t>
  </si>
  <si>
    <t>only applicable if/when the sponsor allows forgone IDC to be used to meet cost share requirement</t>
  </si>
  <si>
    <t>NAU NICRA Rate =&gt;</t>
  </si>
  <si>
    <t>TOTAL PROJECT COSTS</t>
  </si>
  <si>
    <t>TOTAL COST SHARE COSTS</t>
  </si>
  <si>
    <t>PROPOSAL BUDGET FORM</t>
  </si>
  <si>
    <t>Northern Arizona University</t>
  </si>
  <si>
    <t>Cumulative Budget</t>
  </si>
  <si>
    <t>Year 1</t>
  </si>
  <si>
    <t>Year 2</t>
  </si>
  <si>
    <t>Year 3</t>
  </si>
  <si>
    <t>Cumulative</t>
  </si>
  <si>
    <t>Total Salaries</t>
  </si>
  <si>
    <t xml:space="preserve">Sr. Personnel </t>
  </si>
  <si>
    <t>Oth. Personnel</t>
  </si>
  <si>
    <t>Total Benefits</t>
  </si>
  <si>
    <t>Domestic</t>
  </si>
  <si>
    <t>International</t>
  </si>
  <si>
    <t>Total Participant Support cost</t>
  </si>
  <si>
    <t>Materials &amp; Supplies</t>
  </si>
  <si>
    <t>Consultants</t>
  </si>
  <si>
    <t>Oth. Expenses</t>
  </si>
  <si>
    <t>Total Subaward(s)</t>
  </si>
  <si>
    <t>Total Direct Costs</t>
  </si>
  <si>
    <t>Indirect Base</t>
  </si>
  <si>
    <t>Total sponsor requested</t>
  </si>
  <si>
    <t>Cost Share Total</t>
  </si>
  <si>
    <t>Cost Share Percentage</t>
  </si>
  <si>
    <t>Total Buget Costs</t>
  </si>
  <si>
    <t>Travel Calculator</t>
  </si>
  <si>
    <t>Information</t>
  </si>
  <si>
    <t>Cost</t>
  </si>
  <si>
    <t xml:space="preserve">Totals </t>
  </si>
  <si>
    <t>Destination</t>
  </si>
  <si>
    <t># of travelers</t>
  </si>
  <si>
    <t xml:space="preserve"># of days </t>
  </si>
  <si>
    <t># of nights</t>
  </si>
  <si>
    <t># of miles</t>
  </si>
  <si>
    <t>$$ RT flight (per person)</t>
  </si>
  <si>
    <t>$$ Full day meals (per person)</t>
  </si>
  <si>
    <t>$$ 1st and last day meals (per person)</t>
  </si>
  <si>
    <t>$$ of accommodation (per night)</t>
  </si>
  <si>
    <t>$$ per mile</t>
  </si>
  <si>
    <t>$$ of Conference registration (per person)</t>
  </si>
  <si>
    <t>$$ Miscellenous (per person)</t>
  </si>
  <si>
    <t>1st and last day meal</t>
  </si>
  <si>
    <t>Remaining days (Meal) minus first &amp; last day</t>
  </si>
  <si>
    <t>Flight</t>
  </si>
  <si>
    <t>Lodging</t>
  </si>
  <si>
    <t>Miles</t>
  </si>
  <si>
    <t>Conference Registration</t>
  </si>
  <si>
    <t>Miscellenous</t>
  </si>
  <si>
    <t>Trip #1</t>
  </si>
  <si>
    <t>Trip #2</t>
  </si>
  <si>
    <t>Trip #3</t>
  </si>
  <si>
    <t>Trip #4</t>
  </si>
  <si>
    <t>Trip #5</t>
  </si>
  <si>
    <t>Trip #6</t>
  </si>
  <si>
    <t>Trip #7</t>
  </si>
  <si>
    <t>Trip #8</t>
  </si>
  <si>
    <t>Trip #9</t>
  </si>
  <si>
    <t>Trip #10</t>
  </si>
  <si>
    <t>All trips</t>
  </si>
  <si>
    <t>NOTE</t>
  </si>
  <si>
    <t>Important Links</t>
  </si>
  <si>
    <t>NAU Travel Policies</t>
  </si>
  <si>
    <t>Arizona General Accounting Office Travel Policies</t>
  </si>
  <si>
    <t>Per Diem Loop-up based on Travel Destination</t>
  </si>
  <si>
    <t>Summary of Personnel Costs</t>
  </si>
  <si>
    <t>SENIOR PERSONNEL</t>
  </si>
  <si>
    <t>Salary &amp; Fringe Total</t>
  </si>
  <si>
    <t>Y1</t>
  </si>
  <si>
    <t>Y2</t>
  </si>
  <si>
    <t>Y3</t>
  </si>
  <si>
    <t>Total</t>
  </si>
  <si>
    <t xml:space="preserve">Total </t>
  </si>
  <si>
    <t>OTHER PERSONNEL</t>
  </si>
  <si>
    <t>Name &amp; Role</t>
  </si>
  <si>
    <t>Salay &amp; fringe total</t>
  </si>
  <si>
    <t xml:space="preserve">Y1 </t>
  </si>
  <si>
    <t>GRA</t>
  </si>
  <si>
    <t>Appointment</t>
  </si>
  <si>
    <t>Salary &amp; Fringe</t>
  </si>
  <si>
    <t>IDC RATE</t>
  </si>
  <si>
    <t xml:space="preserve">LOCATION </t>
  </si>
  <si>
    <t>RATES</t>
  </si>
  <si>
    <t>On-Campus Instruction</t>
  </si>
  <si>
    <t>On-Campus Other Sponsored Activies</t>
  </si>
  <si>
    <t>Off-Campus Research</t>
  </si>
  <si>
    <t>Off-Campus Instruction</t>
  </si>
  <si>
    <t>Off-Campus Other Sponsored Activies</t>
  </si>
  <si>
    <t>CESU</t>
  </si>
  <si>
    <t>OtherMTDC</t>
  </si>
  <si>
    <t>OtherTDC</t>
  </si>
  <si>
    <t>Wages&amp;Fringe Only</t>
  </si>
  <si>
    <t xml:space="preserve">Tutition Remission </t>
  </si>
  <si>
    <t>Full Tuition</t>
  </si>
  <si>
    <t>Tutition for Academic year 25-26</t>
  </si>
  <si>
    <t>Total benefit if 10-19 hrs/week</t>
  </si>
  <si>
    <t>GRA Insurance</t>
  </si>
  <si>
    <t xml:space="preserve">Year </t>
  </si>
  <si>
    <t>Full year (8/16/24 - 8/15/25) is $2,765. any project that goes past 8/1/15 2025 should use the rate of $2,903</t>
  </si>
  <si>
    <t>Fall (8/16/24 - 12/31/24) is $1,045. Any project past 12/31/24 should be using $1,097</t>
  </si>
  <si>
    <t>Spring (1/1/25-8/15/25) is $1,720. Any project with a project period past 8/15/25 should be using $1,806</t>
  </si>
  <si>
    <t>Summer only 2024</t>
  </si>
  <si>
    <t>summer only 25</t>
  </si>
  <si>
    <t>Person Months = % Effort x term of appointment</t>
  </si>
  <si>
    <t>Percent Effort</t>
  </si>
  <si>
    <t>Calendar Months</t>
  </si>
  <si>
    <t>Summer Months</t>
  </si>
  <si>
    <t>Calendar Weeks</t>
  </si>
  <si>
    <t>Academic Weeks</t>
  </si>
  <si>
    <t>Summer Weeks</t>
  </si>
  <si>
    <t>Calendar Days</t>
  </si>
  <si>
    <t>Academic Days</t>
  </si>
  <si>
    <t>Summer Days</t>
  </si>
  <si>
    <t>Calendar Hours</t>
  </si>
  <si>
    <t>Academic Hours</t>
  </si>
  <si>
    <t>Summer Hours</t>
  </si>
  <si>
    <t>Calendar Year</t>
  </si>
  <si>
    <t>Academic Year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</si>
</sst>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6" formatCode="&quot;$&quot;#,##0_);[Red]\(&quot;$&quot;#,##0\)"/>
    <numFmt numFmtId="41" formatCode="_(* #,##0_);_(* \(#,##0\);_(* &quot;-&quot;_);_(@_)"/>
    <numFmt numFmtId="44" formatCode="_(&quot;$&quot;* #,##0.00_);_(&quot;$&quot;* \(#,##0.00\);_(&quot;$&quot;* &quot;-&quot;??_);_(@_)"/>
    <numFmt numFmtId="43" formatCode="_(* #,##0.00_);_(* \(#,##0.00\);_(* &quot;-&quot;??_);_(@_)"/>
    <numFmt numFmtId="164" formatCode="_(* #,##0.00_);_(* \(#,##0.00\);_(* &quot;-&quot;_);_(@_)"/>
    <numFmt numFmtId="165" formatCode="_([$$-409]* #,##0_);_([$$-409]* \(#,##0\);_([$$-409]* &quot;-&quot;??_);_(@_)"/>
    <numFmt numFmtId="166" formatCode="_(* #,##0_);_(* \(#,##0\);_(* &quot;-&quot;??_);_(@_)"/>
    <numFmt numFmtId="167" formatCode="_(&quot;$&quot;* #,##0_);_(&quot;$&quot;* \(#,##0\);_(&quot;$&quot;* &quot;-&quot;??_);_(@_)"/>
    <numFmt numFmtId="168" formatCode="0.000"/>
    <numFmt numFmtId="169" formatCode="0.0%"/>
    <numFmt numFmtId="170" formatCode="_(&quot;$&quot;* #,##0.0_);_(&quot;$&quot;* \(#,##0.0\);_(&quot;$&quot;* &quot;-&quot;??_);_(@_)"/>
  </numFmts>
  <fonts count="136"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8"/>
      <name val="Arial"/>
      <family val="2"/>
    </font>
    <font>
      <sz val="10"/>
      <color rgb="FFFF0000"/>
      <name val="Arial"/>
      <family val="2"/>
    </font>
    <font>
      <u/>
      <sz val="10"/>
      <color theme="10"/>
      <name val="Arial"/>
      <family val="2"/>
    </font>
    <font>
      <u/>
      <sz val="10"/>
      <color theme="11"/>
      <name val="Arial"/>
      <family val="2"/>
    </font>
    <font>
      <i/>
      <sz val="10"/>
      <name val="Arial"/>
      <family val="2"/>
    </font>
    <font>
      <sz val="10"/>
      <name val="Arial"/>
      <family val="2"/>
    </font>
    <font>
      <sz val="10"/>
      <name val="Arial"/>
      <family val="2"/>
    </font>
    <font>
      <b/>
      <sz val="13"/>
      <color theme="3"/>
      <name val="Calibri"/>
      <family val="2"/>
      <scheme val="minor"/>
    </font>
    <font>
      <sz val="11"/>
      <name val="Calibri"/>
      <family val="2"/>
      <scheme val="minor"/>
    </font>
    <font>
      <b/>
      <sz val="11"/>
      <name val="Calibri"/>
      <family val="2"/>
      <scheme val="minor"/>
    </font>
    <font>
      <b/>
      <sz val="11"/>
      <name val="Arial"/>
      <family val="2"/>
    </font>
    <font>
      <sz val="11"/>
      <name val="Arial"/>
      <family val="2"/>
    </font>
    <font>
      <b/>
      <sz val="11"/>
      <color theme="1" tint="0.34998626667073579"/>
      <name val="Calibri"/>
      <family val="2"/>
      <scheme val="minor"/>
    </font>
    <font>
      <b/>
      <sz val="11"/>
      <color indexed="10"/>
      <name val="Arial"/>
      <family val="2"/>
    </font>
    <font>
      <sz val="12"/>
      <name val="Arial"/>
      <family val="2"/>
    </font>
    <font>
      <sz val="10"/>
      <name val="Aharoni"/>
      <charset val="177"/>
    </font>
    <font>
      <sz val="10"/>
      <name val="Aptos Display"/>
      <family val="2"/>
    </font>
    <font>
      <sz val="12"/>
      <name val="Aptos Display"/>
      <family val="2"/>
    </font>
    <font>
      <b/>
      <sz val="15"/>
      <color theme="3"/>
      <name val="Calibri"/>
      <family val="2"/>
      <scheme val="minor"/>
    </font>
    <font>
      <b/>
      <sz val="11"/>
      <color theme="3"/>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i/>
      <sz val="11"/>
      <name val="Arial"/>
      <family val="2"/>
    </font>
    <font>
      <sz val="11"/>
      <color rgb="FFD0CECE"/>
      <name val="Arial"/>
      <family val="2"/>
    </font>
    <font>
      <sz val="11"/>
      <color rgb="FFFFFFFF"/>
      <name val="Arial"/>
      <family val="2"/>
    </font>
    <font>
      <b/>
      <sz val="11"/>
      <name val="Aptos Display"/>
      <family val="2"/>
    </font>
    <font>
      <i/>
      <sz val="11"/>
      <name val="Arial"/>
      <family val="2"/>
    </font>
    <font>
      <b/>
      <sz val="11"/>
      <color theme="0" tint="-0.499984740745262"/>
      <name val="Arial"/>
      <family val="2"/>
    </font>
    <font>
      <b/>
      <sz val="11"/>
      <color theme="9" tint="-0.249977111117893"/>
      <name val="Arial"/>
      <family val="2"/>
    </font>
    <font>
      <sz val="11"/>
      <color rgb="FF000000"/>
      <name val="Arial"/>
      <family val="2"/>
    </font>
    <font>
      <b/>
      <i/>
      <sz val="11"/>
      <color rgb="FF7F7F7F"/>
      <name val="Calibri"/>
      <family val="2"/>
      <scheme val="minor"/>
    </font>
    <font>
      <b/>
      <sz val="9"/>
      <name val="Amasis MT Pro Light"/>
      <family val="1"/>
    </font>
    <font>
      <b/>
      <sz val="11"/>
      <color rgb="FF000000"/>
      <name val="Amasis MT Pro Light"/>
      <family val="1"/>
    </font>
    <font>
      <b/>
      <sz val="11"/>
      <name val="Amasis MT Pro Light"/>
      <family val="1"/>
    </font>
    <font>
      <sz val="10"/>
      <name val="Amasis MT Pro Light"/>
      <family val="1"/>
    </font>
    <font>
      <b/>
      <sz val="10"/>
      <name val="Amasis MT Pro Light"/>
      <family val="1"/>
    </font>
    <font>
      <i/>
      <sz val="10"/>
      <name val="Amasis MT Pro Light"/>
      <family val="1"/>
    </font>
    <font>
      <b/>
      <sz val="11"/>
      <color theme="9"/>
      <name val="Calibri"/>
      <family val="2"/>
      <scheme val="minor"/>
    </font>
    <font>
      <b/>
      <sz val="10"/>
      <color theme="1" tint="4.9989318521683403E-2"/>
      <name val="Franklin Gothic Demi"/>
      <family val="2"/>
    </font>
    <font>
      <b/>
      <sz val="12"/>
      <name val="Aptos Display"/>
      <family val="2"/>
    </font>
    <font>
      <i/>
      <sz val="12"/>
      <color theme="5" tint="-0.249977111117893"/>
      <name val="Aptos Display"/>
      <family val="2"/>
    </font>
    <font>
      <b/>
      <sz val="12"/>
      <color rgb="FF3F3F3F"/>
      <name val="Aptos Display"/>
      <family val="2"/>
    </font>
    <font>
      <sz val="18"/>
      <color theme="3"/>
      <name val="Cambria"/>
      <family val="2"/>
      <scheme val="major"/>
    </font>
    <font>
      <i/>
      <sz val="11"/>
      <color rgb="FF7F7F7F"/>
      <name val="Aptos Black"/>
      <family val="2"/>
    </font>
    <font>
      <b/>
      <i/>
      <u/>
      <sz val="11"/>
      <color rgb="FF7F7F7F"/>
      <name val="Calibri"/>
      <family val="2"/>
      <scheme val="minor"/>
    </font>
    <font>
      <i/>
      <sz val="11"/>
      <color rgb="FF7F7F7F"/>
      <name val="Aptos Display"/>
      <family val="2"/>
    </font>
    <font>
      <i/>
      <u/>
      <sz val="11"/>
      <color rgb="FF7F7F7F"/>
      <name val="Aptos Display"/>
      <family val="2"/>
    </font>
    <font>
      <i/>
      <sz val="11"/>
      <color rgb="FFFF0000"/>
      <name val="Aptos Display"/>
      <family val="2"/>
    </font>
    <font>
      <b/>
      <i/>
      <sz val="11"/>
      <color rgb="FF7F7F7F"/>
      <name val="Aptos Display"/>
      <family val="2"/>
    </font>
    <font>
      <sz val="11"/>
      <color rgb="FF3F3F76"/>
      <name val="Aptos Display"/>
      <family val="2"/>
    </font>
    <font>
      <b/>
      <sz val="11"/>
      <color rgb="FFFA7D00"/>
      <name val="Aptos Display"/>
      <family val="2"/>
    </font>
    <font>
      <sz val="11"/>
      <color rgb="FFFA7D00"/>
      <name val="Aptos Display"/>
      <family val="2"/>
    </font>
    <font>
      <b/>
      <sz val="14"/>
      <name val="Aptos Display"/>
      <family val="2"/>
    </font>
    <font>
      <b/>
      <i/>
      <sz val="11"/>
      <name val="Aptos Display"/>
      <family val="2"/>
    </font>
    <font>
      <b/>
      <sz val="9"/>
      <name val="Aptos Mono"/>
      <family val="3"/>
    </font>
    <font>
      <sz val="11"/>
      <name val="Aptos"/>
      <family val="2"/>
    </font>
    <font>
      <b/>
      <sz val="18"/>
      <name val="Arial"/>
      <family val="2"/>
    </font>
    <font>
      <b/>
      <sz val="10"/>
      <name val="Aptos"/>
      <family val="2"/>
    </font>
    <font>
      <b/>
      <i/>
      <sz val="11"/>
      <color theme="5" tint="-0.249977111117893"/>
      <name val="Calibri"/>
      <family val="2"/>
      <scheme val="minor"/>
    </font>
    <font>
      <sz val="11"/>
      <color rgb="FFFF0000"/>
      <name val="Aptos"/>
      <family val="2"/>
    </font>
    <font>
      <sz val="9"/>
      <name val="Aptos Display"/>
      <family val="2"/>
    </font>
    <font>
      <sz val="8"/>
      <name val="Aptos Display"/>
      <family val="2"/>
    </font>
    <font>
      <sz val="8"/>
      <color rgb="FF3F3F3F"/>
      <name val="Calibri"/>
      <family val="2"/>
      <scheme val="minor"/>
    </font>
    <font>
      <b/>
      <sz val="11"/>
      <color theme="4" tint="-0.249977111117893"/>
      <name val="Arial"/>
      <family val="2"/>
    </font>
    <font>
      <b/>
      <sz val="11"/>
      <color theme="4" tint="-0.249977111117893"/>
      <name val="Calibri"/>
      <family val="2"/>
      <scheme val="minor"/>
    </font>
    <font>
      <b/>
      <sz val="12"/>
      <color theme="4" tint="-0.249977111117893"/>
      <name val="Aptos Display"/>
      <family val="2"/>
    </font>
    <font>
      <b/>
      <i/>
      <sz val="10"/>
      <name val="Aptos Display"/>
      <family val="2"/>
    </font>
    <font>
      <sz val="11"/>
      <color rgb="FF3F3F76"/>
      <name val="Aptos"/>
      <family val="2"/>
    </font>
    <font>
      <b/>
      <sz val="11"/>
      <color rgb="FFFA7D00"/>
      <name val="Aptos"/>
      <family val="2"/>
    </font>
    <font>
      <b/>
      <sz val="14"/>
      <name val="Aptos"/>
      <family val="2"/>
    </font>
    <font>
      <i/>
      <u/>
      <sz val="11"/>
      <name val="Aptos Black"/>
      <family val="2"/>
    </font>
    <font>
      <i/>
      <sz val="11"/>
      <name val="Aptos Black"/>
      <family val="2"/>
    </font>
    <font>
      <i/>
      <sz val="11"/>
      <color rgb="FF7F7F7F"/>
      <name val="Aptos"/>
      <family val="2"/>
    </font>
    <font>
      <b/>
      <i/>
      <u/>
      <sz val="11"/>
      <color rgb="FF7F7F7F"/>
      <name val="Aptos Black"/>
      <family val="2"/>
    </font>
    <font>
      <b/>
      <sz val="14"/>
      <color theme="4"/>
      <name val="Aptos"/>
      <family val="2"/>
    </font>
    <font>
      <sz val="14"/>
      <color rgb="FF3F3F76"/>
      <name val="Calibri"/>
      <family val="2"/>
      <scheme val="minor"/>
    </font>
    <font>
      <sz val="14"/>
      <name val="Arial"/>
      <family val="2"/>
    </font>
    <font>
      <sz val="11"/>
      <color theme="0" tint="-0.499984740745262"/>
      <name val="Arial"/>
      <family val="2"/>
    </font>
    <font>
      <sz val="10"/>
      <color rgb="FFFF0000"/>
      <name val="Aptos"/>
      <family val="2"/>
    </font>
    <font>
      <sz val="9"/>
      <color rgb="FFFF0000"/>
      <name val="Aptos"/>
      <family val="2"/>
    </font>
    <font>
      <b/>
      <i/>
      <sz val="11"/>
      <color theme="5" tint="-0.249977111117893"/>
      <name val="Arial"/>
      <family val="2"/>
    </font>
    <font>
      <u/>
      <sz val="10"/>
      <color theme="10"/>
      <name val="Arial"/>
      <family val="2"/>
    </font>
    <font>
      <b/>
      <sz val="15"/>
      <color theme="0"/>
      <name val="Calibri"/>
      <family val="2"/>
      <scheme val="minor"/>
    </font>
    <font>
      <i/>
      <sz val="11"/>
      <color theme="0"/>
      <name val="Calibri"/>
      <family val="2"/>
      <scheme val="minor"/>
    </font>
    <font>
      <b/>
      <sz val="13"/>
      <color theme="0"/>
      <name val="Calibri"/>
      <family val="2"/>
      <scheme val="minor"/>
    </font>
    <font>
      <b/>
      <sz val="11"/>
      <color rgb="FF3F3F76"/>
      <name val="Calibri"/>
      <family val="2"/>
      <scheme val="minor"/>
    </font>
    <font>
      <sz val="11"/>
      <color theme="3"/>
      <name val="Calibri"/>
      <family val="2"/>
      <scheme val="minor"/>
    </font>
    <font>
      <b/>
      <sz val="14"/>
      <name val="Arial"/>
      <family val="2"/>
    </font>
    <font>
      <u/>
      <sz val="14"/>
      <color theme="1"/>
      <name val="Arial"/>
      <family val="2"/>
    </font>
    <font>
      <b/>
      <u/>
      <sz val="14"/>
      <name val="Cambria"/>
      <family val="1"/>
      <scheme val="major"/>
    </font>
    <font>
      <sz val="24"/>
      <color theme="0"/>
      <name val="Cambria"/>
      <family val="2"/>
      <scheme val="major"/>
    </font>
    <font>
      <sz val="12"/>
      <color theme="0"/>
      <name val="Aptos Display"/>
      <family val="2"/>
    </font>
    <font>
      <sz val="14"/>
      <name val="Aptos Display"/>
      <family val="2"/>
    </font>
    <font>
      <b/>
      <sz val="12"/>
      <color theme="1" tint="0.499984740745262"/>
      <name val="Aptos Display"/>
      <family val="2"/>
    </font>
    <font>
      <b/>
      <i/>
      <sz val="11"/>
      <color theme="5"/>
      <name val="Aptos Display"/>
      <family val="2"/>
    </font>
    <font>
      <b/>
      <sz val="11"/>
      <color theme="0" tint="-0.499984740745262"/>
      <name val="Aptos"/>
      <family val="2"/>
    </font>
    <font>
      <b/>
      <u/>
      <sz val="11"/>
      <color theme="0" tint="-0.499984740745262"/>
      <name val="Aptos"/>
      <family val="2"/>
    </font>
    <font>
      <b/>
      <sz val="10"/>
      <color theme="0" tint="-0.499984740745262"/>
      <name val="Arial"/>
      <family val="2"/>
    </font>
    <font>
      <b/>
      <sz val="10"/>
      <color theme="0" tint="-0.499984740745262"/>
      <name val="Aptos"/>
      <family val="2"/>
    </font>
    <font>
      <sz val="10"/>
      <color theme="0" tint="-0.499984740745262"/>
      <name val="Aptos"/>
      <family val="2"/>
    </font>
    <font>
      <b/>
      <i/>
      <u/>
      <sz val="11"/>
      <color rgb="FFFBCF53"/>
      <name val="Calibri"/>
      <family val="2"/>
      <scheme val="minor"/>
    </font>
    <font>
      <b/>
      <i/>
      <u/>
      <sz val="11"/>
      <color theme="5" tint="-0.249977111117893"/>
      <name val="Calibri"/>
      <family val="2"/>
      <scheme val="minor"/>
    </font>
    <font>
      <b/>
      <sz val="12"/>
      <color theme="3"/>
      <name val="Calibri"/>
      <family val="2"/>
      <scheme val="minor"/>
    </font>
    <font>
      <sz val="10"/>
      <name val="Aptos"/>
      <family val="2"/>
    </font>
    <font>
      <b/>
      <i/>
      <sz val="11"/>
      <color theme="5" tint="-0.249977111117893"/>
      <name val="Aptos"/>
      <family val="2"/>
    </font>
    <font>
      <b/>
      <i/>
      <sz val="12"/>
      <color theme="5" tint="-0.249977111117893"/>
      <name val="Aptos"/>
      <family val="2"/>
    </font>
    <font>
      <b/>
      <sz val="22"/>
      <name val="Arial"/>
      <family val="2"/>
    </font>
    <font>
      <sz val="12"/>
      <color rgb="FFFF0000"/>
      <name val="Aptos"/>
      <family val="2"/>
    </font>
    <font>
      <b/>
      <sz val="11"/>
      <color theme="1" tint="0.499984740745262"/>
      <name val="Arial"/>
      <family val="2"/>
    </font>
    <font>
      <b/>
      <sz val="14"/>
      <color theme="1" tint="0.34998626667073579"/>
      <name val="Calibri"/>
      <family val="2"/>
      <scheme val="minor"/>
    </font>
    <font>
      <sz val="12"/>
      <name val="Amasis MT Pro"/>
      <family val="1"/>
    </font>
    <font>
      <b/>
      <sz val="12"/>
      <name val="Amasis MT Pro"/>
      <family val="1"/>
    </font>
    <font>
      <sz val="10"/>
      <color theme="1" tint="0.499984740745262"/>
      <name val="Arial"/>
      <family val="2"/>
    </font>
    <font>
      <sz val="11"/>
      <color theme="1" tint="0.499984740745262"/>
      <name val="Arial"/>
      <family val="2"/>
    </font>
    <font>
      <sz val="18"/>
      <color theme="3" tint="-0.249977111117893"/>
      <name val="Amasis MT Pro Medium"/>
      <family val="1"/>
    </font>
    <font>
      <sz val="11"/>
      <color theme="0"/>
      <name val="Amasis MT Pro Black"/>
      <family val="1"/>
    </font>
    <font>
      <b/>
      <sz val="11"/>
      <name val="Aptos"/>
      <family val="2"/>
    </font>
    <font>
      <b/>
      <sz val="10"/>
      <color rgb="FF3F3F3F"/>
      <name val="Aptos"/>
      <family val="2"/>
    </font>
    <font>
      <i/>
      <u/>
      <sz val="11"/>
      <color rgb="FF7F7F7F"/>
      <name val="Aptos Black"/>
      <family val="2"/>
    </font>
    <font>
      <sz val="11"/>
      <color theme="1" tint="0.499984740745262"/>
      <name val="Calibri"/>
      <family val="2"/>
      <scheme val="minor"/>
    </font>
    <font>
      <b/>
      <sz val="11"/>
      <color theme="1" tint="0.499984740745262"/>
      <name val="Calibri"/>
      <family val="2"/>
      <scheme val="minor"/>
    </font>
    <font>
      <b/>
      <sz val="12"/>
      <color theme="9" tint="-0.499984740745262"/>
      <name val="Amasis MT Pro"/>
      <family val="1"/>
    </font>
    <font>
      <i/>
      <sz val="12"/>
      <name val="Amasis MT Pro"/>
      <family val="1"/>
    </font>
  </fonts>
  <fills count="42">
    <fill>
      <patternFill patternType="none"/>
    </fill>
    <fill>
      <patternFill patternType="gray125"/>
    </fill>
    <fill>
      <patternFill patternType="solid">
        <fgColor rgb="FFFFFFCC"/>
      </patternFill>
    </fill>
    <fill>
      <patternFill patternType="solid">
        <fgColor theme="4"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4" tint="0.59999389629810485"/>
        <bgColor indexed="65"/>
      </patternFill>
    </fill>
    <fill>
      <patternFill patternType="solid">
        <fgColor rgb="FFC6EFCE"/>
      </patternFill>
    </fill>
    <fill>
      <patternFill patternType="solid">
        <fgColor rgb="FFFFFFFF"/>
        <bgColor indexed="64"/>
      </patternFill>
    </fill>
    <fill>
      <patternFill patternType="solid">
        <fgColor rgb="FFEBEAE9"/>
        <bgColor indexed="64"/>
      </patternFill>
    </fill>
    <fill>
      <patternFill patternType="solid">
        <fgColor theme="0"/>
        <bgColor indexed="64"/>
      </patternFill>
    </fill>
    <fill>
      <patternFill patternType="solid">
        <fgColor rgb="FFA8BFAE"/>
        <bgColor indexed="64"/>
      </patternFill>
    </fill>
    <fill>
      <patternFill patternType="solid">
        <fgColor theme="0" tint="-4.9989318521683403E-2"/>
        <bgColor indexed="64"/>
      </patternFill>
    </fill>
    <fill>
      <patternFill patternType="solid">
        <fgColor theme="3" tint="0.79998168889431442"/>
        <bgColor indexed="64"/>
      </patternFill>
    </fill>
    <fill>
      <patternFill patternType="solid">
        <fgColor theme="5" tint="0.39997558519241921"/>
        <bgColor indexed="64"/>
      </patternFill>
    </fill>
    <fill>
      <patternFill patternType="solid">
        <fgColor rgb="FFFFCC99"/>
      </patternFill>
    </fill>
    <fill>
      <patternFill patternType="solid">
        <fgColor rgb="FFF2F2F2"/>
      </patternFill>
    </fill>
    <fill>
      <patternFill patternType="solid">
        <fgColor theme="4"/>
      </patternFill>
    </fill>
    <fill>
      <patternFill patternType="solid">
        <fgColor theme="5" tint="0.79998168889431442"/>
        <bgColor indexed="65"/>
      </patternFill>
    </fill>
    <fill>
      <patternFill patternType="solid">
        <fgColor theme="9" tint="0.79998168889431442"/>
        <bgColor indexed="65"/>
      </patternFill>
    </fill>
    <fill>
      <patternFill patternType="solid">
        <fgColor rgb="FFE1DFE1"/>
        <bgColor indexed="64"/>
      </patternFill>
    </fill>
    <fill>
      <patternFill patternType="solid">
        <fgColor theme="0" tint="-0.14999847407452621"/>
        <bgColor indexed="64"/>
      </patternFill>
    </fill>
    <fill>
      <patternFill patternType="solid">
        <fgColor theme="1" tint="0.249977111117893"/>
        <bgColor indexed="64"/>
      </patternFill>
    </fill>
    <fill>
      <patternFill patternType="solid">
        <fgColor theme="2" tint="-9.9978637043366805E-2"/>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3" tint="-0.499984740745262"/>
        <bgColor indexed="64"/>
      </patternFill>
    </fill>
    <fill>
      <patternFill patternType="solid">
        <fgColor theme="4" tint="-0.249977111117893"/>
        <bgColor indexed="64"/>
      </patternFill>
    </fill>
    <fill>
      <patternFill patternType="solid">
        <fgColor theme="2" tint="-0.89999084444715716"/>
        <bgColor indexed="64"/>
      </patternFill>
    </fill>
    <fill>
      <patternFill patternType="solid">
        <fgColor rgb="FFF2F2F2"/>
        <bgColor indexed="64"/>
      </patternFill>
    </fill>
    <fill>
      <patternFill patternType="solid">
        <fgColor theme="3" tint="0.39997558519241921"/>
        <bgColor indexed="64"/>
      </patternFill>
    </fill>
    <fill>
      <patternFill patternType="solid">
        <fgColor rgb="FFFAC01A"/>
        <bgColor indexed="64"/>
      </patternFill>
    </fill>
    <fill>
      <patternFill patternType="solid">
        <fgColor rgb="FFFBCF53"/>
        <bgColor indexed="64"/>
      </patternFill>
    </fill>
    <fill>
      <patternFill patternType="solid">
        <fgColor theme="7" tint="0.39997558519241921"/>
        <bgColor indexed="64"/>
      </patternFill>
    </fill>
    <fill>
      <patternFill patternType="solid">
        <fgColor theme="3"/>
        <bgColor indexed="64"/>
      </patternFill>
    </fill>
    <fill>
      <patternFill patternType="solid">
        <fgColor theme="4" tint="0.39997558519241921"/>
        <bgColor indexed="64"/>
      </patternFill>
    </fill>
    <fill>
      <patternFill patternType="solid">
        <fgColor theme="8" tint="-0.249977111117893"/>
        <bgColor indexed="64"/>
      </patternFill>
    </fill>
    <fill>
      <patternFill patternType="solid">
        <fgColor theme="6" tint="0.39997558519241921"/>
        <bgColor indexed="64"/>
      </patternFill>
    </fill>
    <fill>
      <patternFill patternType="solid">
        <fgColor theme="0" tint="-0.249977111117893"/>
        <bgColor indexed="64"/>
      </patternFill>
    </fill>
    <fill>
      <patternFill patternType="solid">
        <fgColor theme="2" tint="0.59999389629810485"/>
        <bgColor indexed="64"/>
      </patternFill>
    </fill>
    <fill>
      <patternFill patternType="solid">
        <fgColor theme="9" tint="0.39997558519241921"/>
        <bgColor indexed="64"/>
      </patternFill>
    </fill>
    <fill>
      <patternFill patternType="solid">
        <fgColor theme="1" tint="0.499984740745262"/>
        <bgColor indexed="64"/>
      </patternFill>
    </fill>
  </fills>
  <borders count="192">
    <border>
      <left/>
      <right/>
      <top/>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ck">
        <color theme="4" tint="0.499984740745262"/>
      </bottom>
      <diagonal/>
    </border>
    <border>
      <left/>
      <right/>
      <top/>
      <bottom style="thin">
        <color indexed="64"/>
      </bottom>
      <diagonal/>
    </border>
    <border>
      <left style="double">
        <color indexed="64"/>
      </left>
      <right/>
      <top/>
      <bottom/>
      <diagonal/>
    </border>
    <border>
      <left/>
      <right style="double">
        <color indexed="64"/>
      </right>
      <top/>
      <bottom/>
      <diagonal/>
    </border>
    <border>
      <left/>
      <right style="thin">
        <color indexed="64"/>
      </right>
      <top/>
      <bottom/>
      <diagonal/>
    </border>
    <border>
      <left/>
      <right/>
      <top style="thin">
        <color indexed="64"/>
      </top>
      <bottom/>
      <diagonal/>
    </border>
    <border>
      <left/>
      <right/>
      <top/>
      <bottom style="hair">
        <color indexed="64"/>
      </bottom>
      <diagonal/>
    </border>
    <border>
      <left/>
      <right/>
      <top style="hair">
        <color indexed="64"/>
      </top>
      <bottom/>
      <diagonal/>
    </border>
    <border>
      <left/>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top style="thin">
        <color indexed="64"/>
      </top>
      <bottom/>
      <diagonal/>
    </border>
    <border>
      <left style="hair">
        <color indexed="64"/>
      </left>
      <right/>
      <top style="hair">
        <color indexed="64"/>
      </top>
      <bottom style="hair">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double">
        <color indexed="64"/>
      </bottom>
      <diagonal/>
    </border>
    <border>
      <left/>
      <right/>
      <top/>
      <bottom style="medium">
        <color indexed="64"/>
      </bottom>
      <diagonal/>
    </border>
    <border>
      <left/>
      <right style="double">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right/>
      <top/>
      <bottom style="thick">
        <color theme="4"/>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thin">
        <color theme="0" tint="-0.14999847407452621"/>
      </left>
      <right/>
      <top/>
      <bottom style="thin">
        <color indexed="64"/>
      </bottom>
      <diagonal/>
    </border>
    <border>
      <left style="thin">
        <color theme="0" tint="-0.14999847407452621"/>
      </left>
      <right style="thin">
        <color theme="0" tint="-0.14999847407452621"/>
      </right>
      <top/>
      <bottom style="thin">
        <color indexed="64"/>
      </bottom>
      <diagonal/>
    </border>
    <border>
      <left style="thin">
        <color rgb="FF7F7F7F"/>
      </left>
      <right style="thin">
        <color rgb="FF7F7F7F"/>
      </right>
      <top style="thin">
        <color rgb="FF7F7F7F"/>
      </top>
      <bottom/>
      <diagonal/>
    </border>
    <border>
      <left style="thin">
        <color rgb="FF7F7F7F"/>
      </left>
      <right style="thin">
        <color rgb="FF7F7F7F"/>
      </right>
      <top/>
      <bottom style="thin">
        <color rgb="FF7F7F7F"/>
      </bottom>
      <diagonal/>
    </border>
    <border>
      <left/>
      <right/>
      <top style="thick">
        <color theme="4" tint="0.499984740745262"/>
      </top>
      <bottom/>
      <diagonal/>
    </border>
    <border>
      <left style="thin">
        <color indexed="64"/>
      </left>
      <right/>
      <top style="thick">
        <color theme="4"/>
      </top>
      <bottom/>
      <diagonal/>
    </border>
    <border>
      <left/>
      <right/>
      <top style="thick">
        <color theme="4"/>
      </top>
      <bottom/>
      <diagonal/>
    </border>
    <border>
      <left style="thin">
        <color rgb="FF3F3F3F"/>
      </left>
      <right style="thin">
        <color rgb="FF3F3F3F"/>
      </right>
      <top/>
      <bottom style="thin">
        <color rgb="FF3F3F3F"/>
      </bottom>
      <diagonal/>
    </border>
    <border>
      <left/>
      <right style="thin">
        <color rgb="FF3F3F3F"/>
      </right>
      <top/>
      <bottom style="thin">
        <color rgb="FF3F3F3F"/>
      </bottom>
      <diagonal/>
    </border>
    <border>
      <left/>
      <right style="thin">
        <color rgb="FF7F7F7F"/>
      </right>
      <top style="thin">
        <color rgb="FF7F7F7F"/>
      </top>
      <bottom style="thin">
        <color rgb="FF7F7F7F"/>
      </bottom>
      <diagonal/>
    </border>
    <border>
      <left/>
      <right/>
      <top style="thick">
        <color theme="4"/>
      </top>
      <bottom style="thin">
        <color indexed="64"/>
      </bottom>
      <diagonal/>
    </border>
    <border>
      <left/>
      <right style="double">
        <color indexed="64"/>
      </right>
      <top style="thick">
        <color theme="4"/>
      </top>
      <bottom/>
      <diagonal/>
    </border>
    <border>
      <left style="thin">
        <color rgb="FF3F3F3F"/>
      </left>
      <right style="thin">
        <color rgb="FF3F3F3F"/>
      </right>
      <top style="thin">
        <color rgb="FF3F3F3F"/>
      </top>
      <bottom/>
      <diagonal/>
    </border>
    <border>
      <left/>
      <right style="thin">
        <color rgb="FF7F7F7F"/>
      </right>
      <top/>
      <bottom style="thin">
        <color rgb="FF7F7F7F"/>
      </bottom>
      <diagonal/>
    </border>
    <border>
      <left/>
      <right style="double">
        <color indexed="64"/>
      </right>
      <top/>
      <bottom style="thin">
        <color indexed="64"/>
      </bottom>
      <diagonal/>
    </border>
    <border>
      <left style="thin">
        <color indexed="64"/>
      </left>
      <right style="thin">
        <color indexed="64"/>
      </right>
      <top style="thin">
        <color indexed="64"/>
      </top>
      <bottom/>
      <diagonal/>
    </border>
    <border>
      <left style="double">
        <color indexed="64"/>
      </left>
      <right style="double">
        <color indexed="64"/>
      </right>
      <top style="thin">
        <color rgb="FF3F3F3F"/>
      </top>
      <bottom style="thin">
        <color rgb="FF3F3F3F"/>
      </bottom>
      <diagonal/>
    </border>
    <border>
      <left style="double">
        <color indexed="64"/>
      </left>
      <right style="double">
        <color indexed="64"/>
      </right>
      <top/>
      <bottom/>
      <diagonal/>
    </border>
    <border>
      <left style="double">
        <color indexed="64"/>
      </left>
      <right style="double">
        <color indexed="64"/>
      </right>
      <top style="thin">
        <color indexed="64"/>
      </top>
      <bottom style="thin">
        <color indexed="64"/>
      </bottom>
      <diagonal/>
    </border>
    <border>
      <left style="double">
        <color indexed="64"/>
      </left>
      <right style="double">
        <color indexed="64"/>
      </right>
      <top style="thin">
        <color indexed="64"/>
      </top>
      <bottom/>
      <diagonal/>
    </border>
    <border>
      <left/>
      <right style="double">
        <color indexed="64"/>
      </right>
      <top style="medium">
        <color theme="4" tint="0.39997558519241921"/>
      </top>
      <bottom/>
      <diagonal/>
    </border>
    <border>
      <left style="double">
        <color indexed="64"/>
      </left>
      <right style="double">
        <color indexed="64"/>
      </right>
      <top style="thin">
        <color rgb="FF7F7F7F"/>
      </top>
      <bottom style="thin">
        <color rgb="FF7F7F7F"/>
      </bottom>
      <diagonal/>
    </border>
    <border>
      <left style="double">
        <color indexed="64"/>
      </left>
      <right style="double">
        <color indexed="64"/>
      </right>
      <top/>
      <bottom style="thin">
        <color indexed="64"/>
      </bottom>
      <diagonal/>
    </border>
    <border>
      <left style="double">
        <color indexed="64"/>
      </left>
      <right style="double">
        <color indexed="64"/>
      </right>
      <top/>
      <bottom style="thin">
        <color rgb="FF3F3F3F"/>
      </bottom>
      <diagonal/>
    </border>
    <border>
      <left style="double">
        <color indexed="64"/>
      </left>
      <right style="double">
        <color indexed="64"/>
      </right>
      <top style="thick">
        <color theme="4" tint="0.499984740745262"/>
      </top>
      <bottom style="thin">
        <color rgb="FF3F3F3F"/>
      </bottom>
      <diagonal/>
    </border>
    <border>
      <left style="double">
        <color indexed="64"/>
      </left>
      <right style="double">
        <color indexed="64"/>
      </right>
      <top/>
      <bottom style="thin">
        <color rgb="FF7F7F7F"/>
      </bottom>
      <diagonal/>
    </border>
    <border>
      <left style="thin">
        <color indexed="64"/>
      </left>
      <right style="thin">
        <color indexed="64"/>
      </right>
      <top style="medium">
        <color indexed="64"/>
      </top>
      <bottom style="thin">
        <color indexed="64"/>
      </bottom>
      <diagonal/>
    </border>
    <border>
      <left style="double">
        <color indexed="64"/>
      </left>
      <right style="double">
        <color indexed="64"/>
      </right>
      <top style="medium">
        <color indexed="64"/>
      </top>
      <bottom style="thin">
        <color rgb="FF3F3F3F"/>
      </bottom>
      <diagonal/>
    </border>
    <border>
      <left style="double">
        <color indexed="64"/>
      </left>
      <right style="double">
        <color indexed="64"/>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rgb="FF7F7F7F"/>
      </right>
      <top style="thin">
        <color rgb="FF7F7F7F"/>
      </top>
      <bottom style="medium">
        <color indexed="64"/>
      </bottom>
      <diagonal/>
    </border>
    <border>
      <left style="thin">
        <color rgb="FF7F7F7F"/>
      </left>
      <right style="thin">
        <color rgb="FF7F7F7F"/>
      </right>
      <top style="thin">
        <color rgb="FF7F7F7F"/>
      </top>
      <bottom style="medium">
        <color indexed="64"/>
      </bottom>
      <diagonal/>
    </border>
    <border>
      <left style="double">
        <color indexed="64"/>
      </left>
      <right style="double">
        <color indexed="64"/>
      </right>
      <top style="thin">
        <color rgb="FF3F3F3F"/>
      </top>
      <bottom style="medium">
        <color indexed="64"/>
      </bottom>
      <diagonal/>
    </border>
    <border>
      <left style="thin">
        <color rgb="FF7F7F7F"/>
      </left>
      <right style="thin">
        <color rgb="FF7F7F7F"/>
      </right>
      <top style="medium">
        <color indexed="64"/>
      </top>
      <bottom style="thin">
        <color rgb="FF7F7F7F"/>
      </bottom>
      <diagonal/>
    </border>
    <border>
      <left style="double">
        <color indexed="64"/>
      </left>
      <right style="double">
        <color indexed="64"/>
      </right>
      <top/>
      <bottom style="medium">
        <color indexed="64"/>
      </bottom>
      <diagonal/>
    </border>
    <border>
      <left/>
      <right style="double">
        <color indexed="64"/>
      </right>
      <top style="medium">
        <color indexed="64"/>
      </top>
      <bottom style="medium">
        <color indexed="64"/>
      </bottom>
      <diagonal/>
    </border>
    <border>
      <left style="double">
        <color indexed="64"/>
      </left>
      <right style="double">
        <color indexed="64"/>
      </right>
      <top style="thin">
        <color rgb="FF7F7F7F"/>
      </top>
      <bottom style="medium">
        <color indexed="64"/>
      </bottom>
      <diagonal/>
    </border>
    <border>
      <left/>
      <right/>
      <top style="medium">
        <color indexed="64"/>
      </top>
      <bottom style="medium">
        <color indexed="64"/>
      </bottom>
      <diagonal/>
    </border>
    <border>
      <left/>
      <right/>
      <top style="thick">
        <color theme="4"/>
      </top>
      <bottom style="medium">
        <color indexed="64"/>
      </bottom>
      <diagonal/>
    </border>
    <border>
      <left style="thin">
        <color rgb="FF7F7F7F"/>
      </left>
      <right style="thin">
        <color rgb="FF7F7F7F"/>
      </right>
      <top style="medium">
        <color indexed="64"/>
      </top>
      <bottom style="medium">
        <color indexed="64"/>
      </bottom>
      <diagonal/>
    </border>
    <border>
      <left style="thin">
        <color rgb="FFB2B2B2"/>
      </left>
      <right style="thin">
        <color rgb="FFB2B2B2"/>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theme="4" tint="0.39997558519241921"/>
      </top>
      <bottom/>
      <diagonal/>
    </border>
    <border>
      <left/>
      <right style="thin">
        <color rgb="FF3F3F3F"/>
      </right>
      <top/>
      <bottom/>
      <diagonal/>
    </border>
    <border>
      <left/>
      <right style="thin">
        <color rgb="FF3F3F3F"/>
      </right>
      <top/>
      <bottom style="hair">
        <color indexed="64"/>
      </bottom>
      <diagonal/>
    </border>
    <border>
      <left/>
      <right style="thin">
        <color rgb="FF3F3F3F"/>
      </right>
      <top style="hair">
        <color indexed="64"/>
      </top>
      <bottom style="hair">
        <color indexed="64"/>
      </bottom>
      <diagonal/>
    </border>
    <border>
      <left/>
      <right/>
      <top style="hair">
        <color indexed="64"/>
      </top>
      <bottom style="thin">
        <color indexed="64"/>
      </bottom>
      <diagonal/>
    </border>
    <border>
      <left/>
      <right style="thin">
        <color rgb="FF3F3F3F"/>
      </right>
      <top style="hair">
        <color indexed="64"/>
      </top>
      <bottom style="thin">
        <color indexed="64"/>
      </bottom>
      <diagonal/>
    </border>
    <border>
      <left style="thin">
        <color rgb="FF3F3F3F"/>
      </left>
      <right style="thin">
        <color rgb="FF3F3F3F"/>
      </right>
      <top style="thin">
        <color indexed="64"/>
      </top>
      <bottom style="hair">
        <color indexed="64"/>
      </bottom>
      <diagonal/>
    </border>
    <border>
      <left style="thin">
        <color rgb="FF3F3F3F"/>
      </left>
      <right/>
      <top/>
      <bottom style="thin">
        <color rgb="FF3F3F3F"/>
      </bottom>
      <diagonal/>
    </border>
    <border>
      <left/>
      <right/>
      <top/>
      <bottom style="thin">
        <color rgb="FF3F3F3F"/>
      </bottom>
      <diagonal/>
    </border>
    <border>
      <left style="thin">
        <color rgb="FF3F3F3F"/>
      </left>
      <right style="thin">
        <color rgb="FF3F3F3F"/>
      </right>
      <top style="hair">
        <color indexed="64"/>
      </top>
      <bottom style="hair">
        <color indexed="64"/>
      </bottom>
      <diagonal/>
    </border>
    <border>
      <left style="thin">
        <color rgb="FF3F3F3F"/>
      </left>
      <right/>
      <top style="hair">
        <color indexed="64"/>
      </top>
      <bottom style="hair">
        <color indexed="64"/>
      </bottom>
      <diagonal/>
    </border>
    <border>
      <left style="thin">
        <color rgb="FF3F3F3F"/>
      </left>
      <right style="thin">
        <color rgb="FF3F3F3F"/>
      </right>
      <top style="thin">
        <color rgb="FF3F3F3F"/>
      </top>
      <bottom style="hair">
        <color indexed="64"/>
      </bottom>
      <diagonal/>
    </border>
    <border>
      <left style="thin">
        <color indexed="64"/>
      </left>
      <right style="thin">
        <color rgb="FF3F3F3F"/>
      </right>
      <top style="hair">
        <color indexed="64"/>
      </top>
      <bottom style="hair">
        <color indexed="64"/>
      </bottom>
      <diagonal/>
    </border>
    <border>
      <left style="thin">
        <color rgb="FF3F3F3F"/>
      </left>
      <right style="thin">
        <color indexed="64"/>
      </right>
      <top style="hair">
        <color indexed="64"/>
      </top>
      <bottom style="hair">
        <color indexed="64"/>
      </bottom>
      <diagonal/>
    </border>
    <border>
      <left/>
      <right/>
      <top style="thin">
        <color rgb="FF3F3F3F"/>
      </top>
      <bottom style="thin">
        <color indexed="64"/>
      </bottom>
      <diagonal/>
    </border>
    <border>
      <left style="thin">
        <color rgb="FF3F3F3F"/>
      </left>
      <right style="thin">
        <color rgb="FF3F3F3F"/>
      </right>
      <top/>
      <bottom/>
      <diagonal/>
    </border>
    <border>
      <left style="thin">
        <color rgb="FF3F3F3F"/>
      </left>
      <right/>
      <top style="hair">
        <color indexed="64"/>
      </top>
      <bottom/>
      <diagonal/>
    </border>
    <border>
      <left/>
      <right style="thin">
        <color rgb="FF3F3F3F"/>
      </right>
      <top style="hair">
        <color indexed="64"/>
      </top>
      <bottom/>
      <diagonal/>
    </border>
    <border>
      <left/>
      <right style="thin">
        <color indexed="64"/>
      </right>
      <top style="hair">
        <color indexed="64"/>
      </top>
      <bottom style="hair">
        <color indexed="64"/>
      </bottom>
      <diagonal/>
    </border>
    <border>
      <left style="thin">
        <color rgb="FF3F3F3F"/>
      </left>
      <right/>
      <top style="hair">
        <color indexed="64"/>
      </top>
      <bottom style="thin">
        <color rgb="FF3F3F3F"/>
      </bottom>
      <diagonal/>
    </border>
    <border>
      <left/>
      <right/>
      <top style="hair">
        <color indexed="64"/>
      </top>
      <bottom style="thin">
        <color rgb="FF3F3F3F"/>
      </bottom>
      <diagonal/>
    </border>
    <border>
      <left/>
      <right style="thin">
        <color rgb="FF3F3F3F"/>
      </right>
      <top style="hair">
        <color indexed="64"/>
      </top>
      <bottom style="thin">
        <color rgb="FF3F3F3F"/>
      </bottom>
      <diagonal/>
    </border>
    <border>
      <left style="thin">
        <color rgb="FF3F3F3F"/>
      </left>
      <right/>
      <top/>
      <bottom/>
      <diagonal/>
    </border>
    <border>
      <left style="thin">
        <color rgb="FF3F3F3F"/>
      </left>
      <right style="thin">
        <color rgb="FF3F3F3F"/>
      </right>
      <top/>
      <bottom style="hair">
        <color indexed="64"/>
      </bottom>
      <diagonal/>
    </border>
    <border>
      <left/>
      <right/>
      <top/>
      <bottom style="thin">
        <color rgb="FF7F7F7F"/>
      </bottom>
      <diagonal/>
    </border>
    <border>
      <left/>
      <right style="thin">
        <color indexed="64"/>
      </right>
      <top style="thin">
        <color indexed="64"/>
      </top>
      <bottom/>
      <diagonal/>
    </border>
    <border>
      <left style="double">
        <color indexed="64"/>
      </left>
      <right style="thin">
        <color indexed="64"/>
      </right>
      <top/>
      <bottom/>
      <diagonal/>
    </border>
    <border>
      <left style="thin">
        <color indexed="64"/>
      </left>
      <right style="thin">
        <color rgb="FF7F7F7F"/>
      </right>
      <top style="thin">
        <color rgb="FF7F7F7F"/>
      </top>
      <bottom style="medium">
        <color indexed="64"/>
      </bottom>
      <diagonal/>
    </border>
    <border>
      <left style="thin">
        <color indexed="64"/>
      </left>
      <right style="thin">
        <color rgb="FF7F7F7F"/>
      </right>
      <top style="thin">
        <color rgb="FF7F7F7F"/>
      </top>
      <bottom style="thin">
        <color rgb="FF7F7F7F"/>
      </bottom>
      <diagonal/>
    </border>
    <border>
      <left style="thin">
        <color indexed="64"/>
      </left>
      <right/>
      <top style="thin">
        <color rgb="FF7F7F7F"/>
      </top>
      <bottom/>
      <diagonal/>
    </border>
    <border>
      <left style="thin">
        <color indexed="64"/>
      </left>
      <right style="thin">
        <color rgb="FF7F7F7F"/>
      </right>
      <top style="thin">
        <color indexed="64"/>
      </top>
      <bottom style="thin">
        <color rgb="FF7F7F7F"/>
      </bottom>
      <diagonal/>
    </border>
    <border>
      <left style="thin">
        <color indexed="64"/>
      </left>
      <right style="thin">
        <color rgb="FF7F7F7F"/>
      </right>
      <top style="medium">
        <color indexed="64"/>
      </top>
      <bottom style="thin">
        <color rgb="FF7F7F7F"/>
      </bottom>
      <diagonal/>
    </border>
    <border>
      <left style="thin">
        <color indexed="64"/>
      </left>
      <right style="thin">
        <color rgb="FF3F3F3F"/>
      </right>
      <top style="thin">
        <color rgb="FF3F3F3F"/>
      </top>
      <bottom style="thin">
        <color rgb="FF3F3F3F"/>
      </bottom>
      <diagonal/>
    </border>
    <border>
      <left style="thin">
        <color indexed="64"/>
      </left>
      <right/>
      <top style="thin">
        <color rgb="FF3F3F3F"/>
      </top>
      <bottom/>
      <diagonal/>
    </border>
    <border>
      <left style="thin">
        <color indexed="64"/>
      </left>
      <right/>
      <top style="medium">
        <color indexed="64"/>
      </top>
      <bottom style="medium">
        <color indexed="64"/>
      </bottom>
      <diagonal/>
    </border>
    <border>
      <left style="thin">
        <color rgb="FF3F3F3F"/>
      </left>
      <right style="thin">
        <color rgb="FF3F3F3F"/>
      </right>
      <top/>
      <bottom style="thin">
        <color indexed="64"/>
      </bottom>
      <diagonal/>
    </border>
    <border>
      <left/>
      <right style="thin">
        <color rgb="FF3F3F3F"/>
      </right>
      <top/>
      <bottom style="thin">
        <color indexed="64"/>
      </bottom>
      <diagonal/>
    </border>
    <border>
      <left/>
      <right style="hair">
        <color indexed="64"/>
      </right>
      <top style="hair">
        <color indexed="64"/>
      </top>
      <bottom style="hair">
        <color indexed="64"/>
      </bottom>
      <diagonal/>
    </border>
    <border>
      <left style="thin">
        <color rgb="FF3F3F3F"/>
      </left>
      <right/>
      <top style="thin">
        <color rgb="FF3F3F3F"/>
      </top>
      <bottom style="thin">
        <color indexed="64"/>
      </bottom>
      <diagonal/>
    </border>
    <border>
      <left/>
      <right style="thin">
        <color rgb="FF3F3F3F"/>
      </right>
      <top style="thin">
        <color rgb="FF3F3F3F"/>
      </top>
      <bottom style="thin">
        <color indexed="64"/>
      </bottom>
      <diagonal/>
    </border>
    <border>
      <left style="thin">
        <color rgb="FF3F3F3F"/>
      </left>
      <right style="thin">
        <color rgb="FF3F3F3F"/>
      </right>
      <top style="thin">
        <color rgb="FF3F3F3F"/>
      </top>
      <bottom style="thin">
        <color indexed="64"/>
      </bottom>
      <diagonal/>
    </border>
    <border>
      <left style="thin">
        <color indexed="64"/>
      </left>
      <right/>
      <top style="thin">
        <color rgb="FF3F3F3F"/>
      </top>
      <bottom style="thin">
        <color indexed="64"/>
      </bottom>
      <diagonal/>
    </border>
    <border>
      <left/>
      <right style="thin">
        <color indexed="64"/>
      </right>
      <top style="thick">
        <color theme="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style="double">
        <color indexed="64"/>
      </right>
      <top style="medium">
        <color indexed="64"/>
      </top>
      <bottom/>
      <diagonal/>
    </border>
    <border>
      <left style="thin">
        <color rgb="FF7F7F7F"/>
      </left>
      <right/>
      <top/>
      <bottom style="thin">
        <color rgb="FF7F7F7F"/>
      </bottom>
      <diagonal/>
    </border>
    <border>
      <left/>
      <right/>
      <top style="double">
        <color rgb="FFFF8001"/>
      </top>
      <bottom/>
      <diagonal/>
    </border>
    <border>
      <left/>
      <right style="hair">
        <color indexed="64"/>
      </right>
      <top/>
      <bottom/>
      <diagonal/>
    </border>
    <border>
      <left/>
      <right style="hair">
        <color indexed="64"/>
      </right>
      <top/>
      <bottom style="double">
        <color rgb="FFFF8001"/>
      </bottom>
      <diagonal/>
    </border>
    <border>
      <left/>
      <right style="hair">
        <color indexed="64"/>
      </right>
      <top style="medium">
        <color indexed="64"/>
      </top>
      <bottom style="double">
        <color rgb="FFFF8001"/>
      </bottom>
      <diagonal/>
    </border>
    <border>
      <left/>
      <right style="double">
        <color indexed="64"/>
      </right>
      <top/>
      <bottom style="thin">
        <color rgb="FF7F7F7F"/>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ck">
        <color theme="4"/>
      </top>
      <bottom style="thin">
        <color indexed="64"/>
      </bottom>
      <diagonal/>
    </border>
    <border>
      <left/>
      <right style="thin">
        <color rgb="FF7F7F7F"/>
      </right>
      <top style="medium">
        <color indexed="64"/>
      </top>
      <bottom style="medium">
        <color indexed="64"/>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style="thin">
        <color rgb="FF3F3F3F"/>
      </right>
      <top/>
      <bottom style="hair">
        <color indexed="64"/>
      </bottom>
      <diagonal/>
    </border>
    <border>
      <left style="double">
        <color indexed="64"/>
      </left>
      <right/>
      <top style="medium">
        <color theme="4" tint="0.39997558519241921"/>
      </top>
      <bottom/>
      <diagonal/>
    </border>
    <border>
      <left style="double">
        <color indexed="64"/>
      </left>
      <right style="double">
        <color indexed="64"/>
      </right>
      <top style="thin">
        <color indexed="64"/>
      </top>
      <bottom style="medium">
        <color indexed="64"/>
      </bottom>
      <diagonal/>
    </border>
    <border>
      <left/>
      <right/>
      <top style="thick">
        <color theme="4" tint="0.499984740745262"/>
      </top>
      <bottom style="medium">
        <color indexed="64"/>
      </bottom>
      <diagonal/>
    </border>
    <border>
      <left style="thin">
        <color indexed="64"/>
      </left>
      <right style="double">
        <color indexed="64"/>
      </right>
      <top style="thin">
        <color indexed="64"/>
      </top>
      <bottom style="thin">
        <color indexed="64"/>
      </bottom>
      <diagonal/>
    </border>
    <border>
      <left style="thin">
        <color indexed="64"/>
      </left>
      <right style="thin">
        <color rgb="FF7F7F7F"/>
      </right>
      <top style="thin">
        <color indexed="64"/>
      </top>
      <bottom style="thin">
        <color indexed="64"/>
      </bottom>
      <diagonal/>
    </border>
    <border>
      <left style="thin">
        <color indexed="64"/>
      </left>
      <right/>
      <top style="medium">
        <color theme="4" tint="0.39997558519241921"/>
      </top>
      <bottom style="thin">
        <color indexed="64"/>
      </bottom>
      <diagonal/>
    </border>
    <border>
      <left/>
      <right/>
      <top style="medium">
        <color theme="4" tint="0.39997558519241921"/>
      </top>
      <bottom style="thin">
        <color indexed="64"/>
      </bottom>
      <diagonal/>
    </border>
    <border>
      <left/>
      <right style="thin">
        <color indexed="64"/>
      </right>
      <top style="medium">
        <color theme="4" tint="0.39997558519241921"/>
      </top>
      <bottom style="thin">
        <color indexed="64"/>
      </bottom>
      <diagonal/>
    </border>
    <border>
      <left style="thin">
        <color rgb="FF3F3F3F"/>
      </left>
      <right style="thin">
        <color indexed="64"/>
      </right>
      <top/>
      <bottom style="thin">
        <color indexed="64"/>
      </bottom>
      <diagonal/>
    </border>
    <border>
      <left/>
      <right style="double">
        <color indexed="64"/>
      </right>
      <top style="thin">
        <color rgb="FF3F3F3F"/>
      </top>
      <bottom style="thin">
        <color indexed="64"/>
      </bottom>
      <diagonal/>
    </border>
    <border>
      <left/>
      <right/>
      <top style="thin">
        <color rgb="FF3F3F3F"/>
      </top>
      <bottom/>
      <diagonal/>
    </border>
    <border>
      <left/>
      <right/>
      <top style="thick">
        <color theme="4"/>
      </top>
      <bottom style="thin">
        <color rgb="FF3F3F3F"/>
      </bottom>
      <diagonal/>
    </border>
    <border>
      <left/>
      <right/>
      <top style="thick">
        <color theme="4" tint="0.499984740745262"/>
      </top>
      <bottom style="thin">
        <color indexed="64"/>
      </bottom>
      <diagonal/>
    </border>
    <border>
      <left style="double">
        <color indexed="64"/>
      </left>
      <right style="double">
        <color indexed="64"/>
      </right>
      <top style="medium">
        <color indexed="64"/>
      </top>
      <bottom style="thin">
        <color indexed="64"/>
      </bottom>
      <diagonal/>
    </border>
    <border>
      <left/>
      <right/>
      <top style="thin">
        <color indexed="64"/>
      </top>
      <bottom style="medium">
        <color theme="4" tint="0.39997558519241921"/>
      </bottom>
      <diagonal/>
    </border>
    <border>
      <left/>
      <right/>
      <top style="thick">
        <color theme="4" tint="0.499984740745262"/>
      </top>
      <bottom style="thin">
        <color rgb="FF3F3F3F"/>
      </bottom>
      <diagonal/>
    </border>
    <border>
      <left/>
      <right style="double">
        <color indexed="64"/>
      </right>
      <top/>
      <bottom style="medium">
        <color indexed="64"/>
      </bottom>
      <diagonal/>
    </border>
    <border>
      <left/>
      <right/>
      <top style="medium">
        <color indexed="64"/>
      </top>
      <bottom style="thin">
        <color rgb="FF7F7F7F"/>
      </bottom>
      <diagonal/>
    </border>
    <border>
      <left/>
      <right/>
      <top style="thick">
        <color theme="4"/>
      </top>
      <bottom style="thin">
        <color rgb="FF7F7F7F"/>
      </bottom>
      <diagonal/>
    </border>
    <border>
      <left/>
      <right/>
      <top style="thin">
        <color rgb="FF7F7F7F"/>
      </top>
      <bottom style="medium">
        <color theme="4" tint="0.39997558519241921"/>
      </bottom>
      <diagonal/>
    </border>
    <border>
      <left/>
      <right/>
      <top style="thin">
        <color rgb="FF3F3F3F"/>
      </top>
      <bottom style="medium">
        <color theme="4" tint="0.39997558519241921"/>
      </bottom>
      <diagonal/>
    </border>
    <border>
      <left/>
      <right style="thin">
        <color indexed="64"/>
      </right>
      <top style="thick">
        <color theme="4"/>
      </top>
      <bottom/>
      <diagonal/>
    </border>
    <border>
      <left/>
      <right style="double">
        <color indexed="64"/>
      </right>
      <top/>
      <bottom style="thin">
        <color rgb="FF3F3F3F"/>
      </bottom>
      <diagonal/>
    </border>
    <border>
      <left/>
      <right style="thin">
        <color rgb="FF7F7F7F"/>
      </right>
      <top/>
      <bottom/>
      <diagonal/>
    </border>
    <border>
      <left/>
      <right style="thin">
        <color rgb="FF7F7F7F"/>
      </right>
      <top style="thin">
        <color indexed="64"/>
      </top>
      <bottom/>
      <diagonal/>
    </border>
    <border>
      <left style="thin">
        <color rgb="FF7F7F7F"/>
      </left>
      <right style="thin">
        <color theme="0" tint="-0.499984740745262"/>
      </right>
      <top style="thin">
        <color rgb="FF7F7F7F"/>
      </top>
      <bottom style="thin">
        <color indexed="64"/>
      </bottom>
      <diagonal/>
    </border>
    <border>
      <left style="thin">
        <color rgb="FF7F7F7F"/>
      </left>
      <right style="thin">
        <color theme="0" tint="-0.499984740745262"/>
      </right>
      <top style="thin">
        <color rgb="FF7F7F7F"/>
      </top>
      <bottom style="thin">
        <color rgb="FF7F7F7F"/>
      </bottom>
      <diagonal/>
    </border>
    <border>
      <left/>
      <right style="thin">
        <color theme="0" tint="-0.499984740745262"/>
      </right>
      <top/>
      <bottom/>
      <diagonal/>
    </border>
    <border>
      <left style="thin">
        <color theme="0" tint="-0.499984740745262"/>
      </left>
      <right style="thin">
        <color rgb="FF7F7F7F"/>
      </right>
      <top style="thin">
        <color indexed="64"/>
      </top>
      <bottom style="thin">
        <color rgb="FF7F7F7F"/>
      </bottom>
      <diagonal/>
    </border>
    <border>
      <left style="thin">
        <color theme="0" tint="-0.499984740745262"/>
      </left>
      <right style="thin">
        <color rgb="FF7F7F7F"/>
      </right>
      <top style="thin">
        <color rgb="FF7F7F7F"/>
      </top>
      <bottom style="thin">
        <color rgb="FF7F7F7F"/>
      </bottom>
      <diagonal/>
    </border>
    <border>
      <left style="thin">
        <color theme="0" tint="-0.499984740745262"/>
      </left>
      <right style="thin">
        <color rgb="FF7F7F7F"/>
      </right>
      <top style="thin">
        <color rgb="FF7F7F7F"/>
      </top>
      <bottom style="medium">
        <color indexed="64"/>
      </bottom>
      <diagonal/>
    </border>
    <border>
      <left style="thin">
        <color theme="0" tint="-0.499984740745262"/>
      </left>
      <right style="thin">
        <color rgb="FF7F7F7F"/>
      </right>
      <top/>
      <bottom style="thin">
        <color rgb="FF7F7F7F"/>
      </bottom>
      <diagonal/>
    </border>
    <border>
      <left style="thin">
        <color rgb="FF7F7F7F"/>
      </left>
      <right style="thin">
        <color theme="0" tint="-0.499984740745262"/>
      </right>
      <top style="thin">
        <color rgb="FF7F7F7F"/>
      </top>
      <bottom style="medium">
        <color indexed="64"/>
      </bottom>
      <diagonal/>
    </border>
    <border>
      <left style="thin">
        <color rgb="FF7F7F7F"/>
      </left>
      <right style="thin">
        <color theme="0" tint="-0.499984740745262"/>
      </right>
      <top/>
      <bottom style="thin">
        <color rgb="FF7F7F7F"/>
      </bottom>
      <diagonal/>
    </border>
    <border>
      <left/>
      <right style="thin">
        <color theme="0" tint="-0.499984740745262"/>
      </right>
      <top style="thick">
        <color theme="4" tint="0.499984740745262"/>
      </top>
      <bottom/>
      <diagonal/>
    </border>
    <border>
      <left/>
      <right style="thin">
        <color theme="0" tint="-0.499984740745262"/>
      </right>
      <top/>
      <bottom style="medium">
        <color indexed="64"/>
      </bottom>
      <diagonal/>
    </border>
    <border>
      <left/>
      <right style="thin">
        <color theme="0" tint="-0.499984740745262"/>
      </right>
      <top style="medium">
        <color indexed="64"/>
      </top>
      <bottom/>
      <diagonal/>
    </border>
    <border>
      <left style="thin">
        <color rgb="FF7F7F7F"/>
      </left>
      <right style="thin">
        <color theme="0" tint="-0.499984740745262"/>
      </right>
      <top style="thin">
        <color indexed="64"/>
      </top>
      <bottom style="thin">
        <color rgb="FF7F7F7F"/>
      </bottom>
      <diagonal/>
    </border>
    <border>
      <left/>
      <right style="thin">
        <color theme="0" tint="-0.499984740745262"/>
      </right>
      <top style="thin">
        <color indexed="64"/>
      </top>
      <bottom style="thin">
        <color indexed="64"/>
      </bottom>
      <diagonal/>
    </border>
    <border>
      <left/>
      <right style="thin">
        <color theme="0" tint="-0.499984740745262"/>
      </right>
      <top style="thin">
        <color indexed="64"/>
      </top>
      <bottom style="medium">
        <color indexed="64"/>
      </bottom>
      <diagonal/>
    </border>
    <border>
      <left/>
      <right style="thin">
        <color theme="0" tint="-0.499984740745262"/>
      </right>
      <top style="medium">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theme="0" tint="-0.499984740745262"/>
      </left>
      <right/>
      <top/>
      <bottom/>
      <diagonal/>
    </border>
    <border>
      <left style="thin">
        <color theme="0" tint="-0.499984740745262"/>
      </left>
      <right style="thin">
        <color rgb="FF7F7F7F"/>
      </right>
      <top style="thin">
        <color indexed="64"/>
      </top>
      <bottom style="medium">
        <color indexed="64"/>
      </bottom>
      <diagonal/>
    </border>
    <border>
      <left/>
      <right style="double">
        <color indexed="64"/>
      </right>
      <top style="thin">
        <color rgb="FF7F7F7F"/>
      </top>
      <bottom style="medium">
        <color indexed="64"/>
      </bottom>
      <diagonal/>
    </border>
    <border>
      <left style="thin">
        <color rgb="FF3F3F3F"/>
      </left>
      <right style="thin">
        <color rgb="FF3F3F3F"/>
      </right>
      <top style="thin">
        <color rgb="FF3F3F3F"/>
      </top>
      <bottom style="medium">
        <color indexed="64"/>
      </bottom>
      <diagonal/>
    </border>
    <border>
      <left style="thin">
        <color rgb="FF3F3F3F"/>
      </left>
      <right style="thin">
        <color rgb="FF3F3F3F"/>
      </right>
      <top style="medium">
        <color indexed="64"/>
      </top>
      <bottom style="thin">
        <color rgb="FF3F3F3F"/>
      </bottom>
      <diagonal/>
    </border>
    <border>
      <left style="thin">
        <color rgb="FF3F3F3F"/>
      </left>
      <right style="thin">
        <color rgb="FF3F3F3F"/>
      </right>
      <top/>
      <bottom style="medium">
        <color indexed="64"/>
      </bottom>
      <diagonal/>
    </border>
    <border>
      <left/>
      <right/>
      <top style="medium">
        <color indexed="64"/>
      </top>
      <bottom style="thick">
        <color theme="4"/>
      </bottom>
      <diagonal/>
    </border>
  </borders>
  <cellStyleXfs count="41">
    <xf numFmtId="0" fontId="0" fillId="0" borderId="0"/>
    <xf numFmtId="9" fontId="5" fillId="0" borderId="0" applyFont="0" applyFill="0" applyBorder="0" applyAlignment="0" applyProtection="0"/>
    <xf numFmtId="0" fontId="4" fillId="0" borderId="0"/>
    <xf numFmtId="43" fontId="4" fillId="0" borderId="0" applyFont="0" applyFill="0" applyBorder="0" applyAlignment="0" applyProtection="0"/>
    <xf numFmtId="44" fontId="4" fillId="0" borderId="0" applyFont="0" applyFill="0" applyBorder="0" applyAlignment="0" applyProtection="0"/>
    <xf numFmtId="9" fontId="4" fillId="0" borderId="0" applyFon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12" fillId="2" borderId="1" applyNumberFormat="0" applyFont="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2" fillId="6" borderId="0" applyNumberFormat="0" applyBorder="0" applyAlignment="0" applyProtection="0"/>
    <xf numFmtId="44" fontId="5" fillId="0" borderId="0" applyFont="0" applyFill="0" applyBorder="0" applyAlignment="0" applyProtection="0"/>
    <xf numFmtId="43" fontId="5" fillId="0" borderId="0" applyFont="0" applyFill="0" applyBorder="0" applyAlignment="0" applyProtection="0"/>
    <xf numFmtId="0" fontId="5" fillId="0" borderId="0"/>
    <xf numFmtId="44" fontId="13" fillId="0" borderId="0" applyFont="0" applyFill="0" applyBorder="0" applyAlignment="0" applyProtection="0"/>
    <xf numFmtId="43" fontId="13" fillId="0" borderId="0" applyFont="0" applyFill="0" applyBorder="0" applyAlignment="0" applyProtection="0"/>
    <xf numFmtId="0" fontId="14" fillId="0" borderId="6" applyNumberFormat="0" applyFill="0" applyAlignment="0" applyProtection="0"/>
    <xf numFmtId="0" fontId="25" fillId="0" borderId="31" applyNumberFormat="0" applyFill="0" applyAlignment="0" applyProtection="0"/>
    <xf numFmtId="0" fontId="26" fillId="0" borderId="32" applyNumberFormat="0" applyFill="0" applyAlignment="0" applyProtection="0"/>
    <xf numFmtId="0" fontId="27" fillId="15" borderId="33" applyNumberFormat="0" applyAlignment="0" applyProtection="0"/>
    <xf numFmtId="0" fontId="28" fillId="16" borderId="34" applyNumberFormat="0" applyAlignment="0" applyProtection="0"/>
    <xf numFmtId="0" fontId="29" fillId="16" borderId="33" applyNumberFormat="0" applyAlignment="0" applyProtection="0"/>
    <xf numFmtId="0" fontId="30" fillId="0" borderId="35" applyNumberFormat="0" applyFill="0" applyAlignment="0" applyProtection="0"/>
    <xf numFmtId="0" fontId="31" fillId="0" borderId="0" applyNumberFormat="0" applyFill="0" applyBorder="0" applyAlignment="0" applyProtection="0"/>
    <xf numFmtId="0" fontId="32" fillId="0" borderId="0" applyNumberFormat="0" applyFill="0" applyBorder="0" applyAlignment="0" applyProtection="0"/>
    <xf numFmtId="0" fontId="34"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55" fillId="0" borderId="0" applyNumberFormat="0" applyFill="0" applyBorder="0" applyAlignment="0" applyProtection="0"/>
    <xf numFmtId="0" fontId="26" fillId="0" borderId="0" applyNumberFormat="0" applyFill="0" applyBorder="0" applyAlignment="0" applyProtection="0"/>
    <xf numFmtId="0" fontId="94" fillId="0" borderId="0" applyNumberFormat="0" applyFill="0" applyBorder="0" applyAlignment="0" applyProtection="0"/>
  </cellStyleXfs>
  <cellXfs count="940">
    <xf numFmtId="0" fontId="0" fillId="0" borderId="0" xfId="0"/>
    <xf numFmtId="0" fontId="6" fillId="0" borderId="0" xfId="0" applyFont="1"/>
    <xf numFmtId="9" fontId="6" fillId="0" borderId="0" xfId="0" applyNumberFormat="1" applyFont="1"/>
    <xf numFmtId="0" fontId="5" fillId="0" borderId="0" xfId="0" applyFont="1" applyAlignment="1">
      <alignment wrapText="1"/>
    </xf>
    <xf numFmtId="0" fontId="5" fillId="0" borderId="0" xfId="0" applyFont="1"/>
    <xf numFmtId="0" fontId="0" fillId="0" borderId="0" xfId="0" applyAlignment="1">
      <alignment horizontal="center"/>
    </xf>
    <xf numFmtId="2" fontId="0" fillId="0" borderId="0" xfId="0" applyNumberFormat="1"/>
    <xf numFmtId="0" fontId="0" fillId="0" borderId="2" xfId="0" applyBorder="1"/>
    <xf numFmtId="0" fontId="6" fillId="0" borderId="2" xfId="0" applyFont="1" applyBorder="1"/>
    <xf numFmtId="1" fontId="0" fillId="0" borderId="0" xfId="0" applyNumberFormat="1"/>
    <xf numFmtId="43" fontId="0" fillId="0" borderId="0" xfId="25" applyFont="1" applyFill="1" applyBorder="1"/>
    <xf numFmtId="2" fontId="0" fillId="0" borderId="0" xfId="0" applyNumberFormat="1" applyAlignment="1">
      <alignment horizontal="right"/>
    </xf>
    <xf numFmtId="2" fontId="0" fillId="0" borderId="0" xfId="0" applyNumberFormat="1" applyAlignment="1">
      <alignment horizontal="right" wrapText="1"/>
    </xf>
    <xf numFmtId="1" fontId="5" fillId="0" borderId="0" xfId="0" applyNumberFormat="1" applyFont="1" applyAlignment="1">
      <alignment wrapText="1"/>
    </xf>
    <xf numFmtId="2" fontId="5" fillId="0" borderId="0" xfId="0" applyNumberFormat="1" applyFont="1" applyAlignment="1">
      <alignment wrapText="1"/>
    </xf>
    <xf numFmtId="10" fontId="0" fillId="0" borderId="0" xfId="1" applyNumberFormat="1" applyFont="1" applyFill="1" applyBorder="1"/>
    <xf numFmtId="0" fontId="15" fillId="0" borderId="0" xfId="18" applyFont="1" applyFill="1" applyBorder="1"/>
    <xf numFmtId="0" fontId="15" fillId="0" borderId="0" xfId="19" applyFont="1" applyFill="1" applyBorder="1"/>
    <xf numFmtId="0" fontId="17" fillId="0" borderId="0" xfId="0" applyFont="1"/>
    <xf numFmtId="0" fontId="18" fillId="0" borderId="0" xfId="0" applyFont="1"/>
    <xf numFmtId="0" fontId="0" fillId="0" borderId="10" xfId="0" applyBorder="1"/>
    <xf numFmtId="0" fontId="0" fillId="0" borderId="0" xfId="0" applyAlignment="1">
      <alignment wrapText="1"/>
    </xf>
    <xf numFmtId="0" fontId="22" fillId="0" borderId="0" xfId="0" applyFont="1"/>
    <xf numFmtId="0" fontId="23" fillId="0" borderId="0" xfId="0" applyFont="1"/>
    <xf numFmtId="0" fontId="24" fillId="0" borderId="0" xfId="0" applyFont="1"/>
    <xf numFmtId="0" fontId="21" fillId="0" borderId="0" xfId="0" applyFont="1"/>
    <xf numFmtId="0" fontId="6" fillId="0" borderId="0" xfId="0" applyFont="1" applyAlignment="1">
      <alignment horizontal="center"/>
    </xf>
    <xf numFmtId="44" fontId="0" fillId="0" borderId="0" xfId="24" applyFont="1" applyFill="1" applyBorder="1"/>
    <xf numFmtId="0" fontId="8" fillId="0" borderId="0" xfId="0" applyFont="1"/>
    <xf numFmtId="10" fontId="8" fillId="0" borderId="0" xfId="1" applyNumberFormat="1" applyFont="1" applyFill="1" applyBorder="1"/>
    <xf numFmtId="0" fontId="5" fillId="0" borderId="2" xfId="0" applyFont="1" applyBorder="1" applyAlignment="1">
      <alignment vertical="top" wrapText="1"/>
    </xf>
    <xf numFmtId="0" fontId="30" fillId="0" borderId="35" xfId="32"/>
    <xf numFmtId="0" fontId="36" fillId="0" borderId="0" xfId="0" applyFont="1"/>
    <xf numFmtId="41" fontId="18" fillId="0" borderId="0" xfId="0" applyNumberFormat="1" applyFont="1"/>
    <xf numFmtId="10" fontId="18" fillId="0" borderId="0" xfId="1" applyNumberFormat="1" applyFont="1" applyFill="1" applyBorder="1"/>
    <xf numFmtId="0" fontId="18" fillId="0" borderId="21" xfId="0" applyFont="1" applyBorder="1"/>
    <xf numFmtId="0" fontId="18" fillId="0" borderId="0" xfId="0" applyFont="1" applyAlignment="1">
      <alignment wrapText="1"/>
    </xf>
    <xf numFmtId="41" fontId="17" fillId="0" borderId="0" xfId="0" applyNumberFormat="1" applyFont="1"/>
    <xf numFmtId="41" fontId="28" fillId="16" borderId="34" xfId="30" applyNumberFormat="1" applyAlignment="1">
      <alignment horizontal="right"/>
    </xf>
    <xf numFmtId="41" fontId="28" fillId="16" borderId="34" xfId="30" applyNumberFormat="1"/>
    <xf numFmtId="0" fontId="18" fillId="0" borderId="8" xfId="0" applyFont="1" applyBorder="1"/>
    <xf numFmtId="41" fontId="29" fillId="16" borderId="33" xfId="31" applyNumberFormat="1" applyAlignment="1">
      <alignment horizontal="right"/>
    </xf>
    <xf numFmtId="0" fontId="15" fillId="0" borderId="0" xfId="0" applyFont="1"/>
    <xf numFmtId="0" fontId="15" fillId="0" borderId="22" xfId="0" applyFont="1" applyBorder="1"/>
    <xf numFmtId="0" fontId="30" fillId="12" borderId="35" xfId="32" applyFill="1" applyAlignment="1">
      <alignment vertical="top" wrapText="1"/>
    </xf>
    <xf numFmtId="41" fontId="18" fillId="9" borderId="2" xfId="0" applyNumberFormat="1" applyFont="1" applyFill="1" applyBorder="1" applyAlignment="1">
      <alignment horizontal="right"/>
    </xf>
    <xf numFmtId="1" fontId="30" fillId="16" borderId="35" xfId="32" applyNumberFormat="1" applyFill="1" applyAlignment="1">
      <alignment horizontal="center"/>
    </xf>
    <xf numFmtId="1" fontId="41" fillId="0" borderId="22" xfId="0" applyNumberFormat="1" applyFont="1" applyBorder="1" applyAlignment="1">
      <alignment horizontal="center"/>
    </xf>
    <xf numFmtId="0" fontId="39" fillId="0" borderId="22" xfId="0" applyFont="1" applyBorder="1"/>
    <xf numFmtId="41" fontId="29" fillId="16" borderId="33" xfId="31" applyNumberFormat="1" applyAlignment="1">
      <alignment horizontal="center"/>
    </xf>
    <xf numFmtId="1" fontId="41" fillId="0" borderId="0" xfId="0" applyNumberFormat="1" applyFont="1" applyAlignment="1">
      <alignment horizontal="center"/>
    </xf>
    <xf numFmtId="0" fontId="18" fillId="8" borderId="0" xfId="16" applyFont="1" applyFill="1" applyBorder="1" applyAlignment="1"/>
    <xf numFmtId="41" fontId="18" fillId="0" borderId="8" xfId="0" applyNumberFormat="1" applyFont="1" applyBorder="1"/>
    <xf numFmtId="0" fontId="32" fillId="0" borderId="0" xfId="34" applyBorder="1" applyAlignment="1">
      <alignment wrapText="1"/>
    </xf>
    <xf numFmtId="6" fontId="40" fillId="0" borderId="0" xfId="0" applyNumberFormat="1" applyFont="1"/>
    <xf numFmtId="165" fontId="32" fillId="0" borderId="22" xfId="34" applyNumberFormat="1" applyBorder="1" applyAlignment="1">
      <alignment wrapText="1"/>
    </xf>
    <xf numFmtId="6" fontId="40" fillId="0" borderId="22" xfId="0" applyNumberFormat="1" applyFont="1" applyBorder="1" applyAlignment="1">
      <alignment wrapText="1"/>
    </xf>
    <xf numFmtId="165" fontId="32" fillId="0" borderId="0" xfId="34" applyNumberFormat="1" applyBorder="1" applyAlignment="1">
      <alignment wrapText="1"/>
    </xf>
    <xf numFmtId="6" fontId="40" fillId="0" borderId="0" xfId="0" applyNumberFormat="1" applyFont="1" applyAlignment="1">
      <alignment wrapText="1"/>
    </xf>
    <xf numFmtId="9" fontId="18" fillId="0" borderId="0" xfId="0" applyNumberFormat="1" applyFont="1"/>
    <xf numFmtId="10" fontId="18" fillId="0" borderId="0" xfId="0" applyNumberFormat="1" applyFont="1"/>
    <xf numFmtId="0" fontId="32" fillId="0" borderId="0" xfId="34" applyFill="1" applyBorder="1"/>
    <xf numFmtId="1" fontId="30" fillId="0" borderId="35" xfId="32" applyNumberFormat="1" applyFill="1" applyAlignment="1">
      <alignment horizontal="center"/>
    </xf>
    <xf numFmtId="41" fontId="44" fillId="0" borderId="0" xfId="16" applyNumberFormat="1" applyFont="1" applyFill="1" applyBorder="1" applyAlignment="1">
      <alignment wrapText="1"/>
    </xf>
    <xf numFmtId="41" fontId="47" fillId="10" borderId="0" xfId="0" applyNumberFormat="1" applyFont="1" applyFill="1"/>
    <xf numFmtId="0" fontId="48" fillId="0" borderId="0" xfId="0" applyFont="1" applyAlignment="1">
      <alignment wrapText="1"/>
    </xf>
    <xf numFmtId="0" fontId="48" fillId="0" borderId="0" xfId="0" applyFont="1"/>
    <xf numFmtId="41" fontId="47" fillId="0" borderId="0" xfId="0" applyNumberFormat="1" applyFont="1"/>
    <xf numFmtId="0" fontId="48" fillId="0" borderId="0" xfId="0" applyFont="1" applyAlignment="1">
      <alignment horizontal="center"/>
    </xf>
    <xf numFmtId="0" fontId="48" fillId="0" borderId="0" xfId="0" applyFont="1" applyAlignment="1" applyProtection="1">
      <alignment horizontal="center" wrapText="1"/>
      <protection locked="0"/>
    </xf>
    <xf numFmtId="0" fontId="47" fillId="0" borderId="0" xfId="0" applyFont="1" applyAlignment="1">
      <alignment horizontal="center"/>
    </xf>
    <xf numFmtId="0" fontId="48" fillId="0" borderId="0" xfId="0" applyFont="1" applyAlignment="1">
      <alignment horizontal="center" wrapText="1"/>
    </xf>
    <xf numFmtId="0" fontId="48" fillId="0" borderId="36" xfId="0" applyFont="1" applyBorder="1" applyAlignment="1">
      <alignment horizontal="center" wrapText="1"/>
    </xf>
    <xf numFmtId="0" fontId="48" fillId="0" borderId="37" xfId="0" applyFont="1" applyBorder="1" applyAlignment="1">
      <alignment wrapText="1"/>
    </xf>
    <xf numFmtId="0" fontId="48" fillId="0" borderId="37" xfId="0" applyFont="1" applyBorder="1" applyAlignment="1">
      <alignment horizontal="center" wrapText="1"/>
    </xf>
    <xf numFmtId="0" fontId="48" fillId="0" borderId="2" xfId="0" applyFont="1" applyBorder="1"/>
    <xf numFmtId="0" fontId="48" fillId="0" borderId="2" xfId="0" applyFont="1" applyBorder="1" applyAlignment="1">
      <alignment horizontal="center" wrapText="1"/>
    </xf>
    <xf numFmtId="41" fontId="49" fillId="0" borderId="0" xfId="0" applyNumberFormat="1" applyFont="1"/>
    <xf numFmtId="41" fontId="47" fillId="0" borderId="0" xfId="16" applyNumberFormat="1" applyFont="1" applyFill="1" applyBorder="1" applyAlignment="1">
      <alignment wrapText="1"/>
    </xf>
    <xf numFmtId="0" fontId="43" fillId="0" borderId="0" xfId="34" applyFont="1" applyAlignment="1">
      <alignment vertical="center" wrapText="1"/>
    </xf>
    <xf numFmtId="41" fontId="28" fillId="16" borderId="2" xfId="30" applyNumberFormat="1" applyBorder="1" applyAlignment="1">
      <alignment horizontal="right"/>
    </xf>
    <xf numFmtId="41" fontId="28" fillId="16" borderId="52" xfId="30" applyNumberFormat="1" applyBorder="1"/>
    <xf numFmtId="41" fontId="28" fillId="16" borderId="54" xfId="30" applyNumberFormat="1" applyBorder="1"/>
    <xf numFmtId="41" fontId="18" fillId="12" borderId="54" xfId="0" applyNumberFormat="1" applyFont="1" applyFill="1" applyBorder="1"/>
    <xf numFmtId="41" fontId="29" fillId="16" borderId="57" xfId="31" applyNumberFormat="1" applyBorder="1"/>
    <xf numFmtId="167" fontId="28" fillId="16" borderId="52" xfId="30" applyNumberFormat="1" applyBorder="1"/>
    <xf numFmtId="167" fontId="28" fillId="16" borderId="60" xfId="30" applyNumberFormat="1" applyBorder="1"/>
    <xf numFmtId="167" fontId="28" fillId="16" borderId="59" xfId="30" applyNumberFormat="1" applyBorder="1"/>
    <xf numFmtId="167" fontId="29" fillId="16" borderId="69" xfId="31" applyNumberFormat="1" applyBorder="1"/>
    <xf numFmtId="167" fontId="29" fillId="16" borderId="74" xfId="31" applyNumberFormat="1" applyBorder="1"/>
    <xf numFmtId="0" fontId="19" fillId="0" borderId="22" xfId="18" applyFont="1" applyFill="1" applyBorder="1"/>
    <xf numFmtId="0" fontId="32" fillId="0" borderId="22" xfId="34" applyFill="1" applyBorder="1"/>
    <xf numFmtId="0" fontId="19" fillId="0" borderId="22" xfId="19" applyFont="1" applyFill="1" applyBorder="1"/>
    <xf numFmtId="10" fontId="18" fillId="0" borderId="22" xfId="1" applyNumberFormat="1" applyFont="1" applyFill="1" applyBorder="1"/>
    <xf numFmtId="0" fontId="53" fillId="0" borderId="0" xfId="0" applyFont="1" applyAlignment="1">
      <alignment wrapText="1"/>
    </xf>
    <xf numFmtId="0" fontId="24" fillId="0" borderId="0" xfId="0" applyFont="1" applyAlignment="1">
      <alignment wrapText="1"/>
    </xf>
    <xf numFmtId="0" fontId="23" fillId="0" borderId="0" xfId="0" applyFont="1" applyAlignment="1">
      <alignment wrapText="1"/>
    </xf>
    <xf numFmtId="0" fontId="32" fillId="0" borderId="0" xfId="34"/>
    <xf numFmtId="0" fontId="32" fillId="0" borderId="0" xfId="34" applyAlignment="1">
      <alignment wrapText="1"/>
    </xf>
    <xf numFmtId="0" fontId="56" fillId="0" borderId="0" xfId="34" applyFont="1"/>
    <xf numFmtId="0" fontId="43" fillId="0" borderId="0" xfId="34" applyFont="1" applyAlignment="1">
      <alignment wrapText="1"/>
    </xf>
    <xf numFmtId="0" fontId="57" fillId="0" borderId="0" xfId="34" applyFont="1" applyAlignment="1">
      <alignment wrapText="1"/>
    </xf>
    <xf numFmtId="0" fontId="58" fillId="0" borderId="0" xfId="34" applyFont="1"/>
    <xf numFmtId="0" fontId="59" fillId="0" borderId="0" xfId="34" applyFont="1"/>
    <xf numFmtId="0" fontId="60" fillId="0" borderId="0" xfId="34" applyFont="1"/>
    <xf numFmtId="0" fontId="58" fillId="0" borderId="0" xfId="34" applyFont="1" applyAlignment="1">
      <alignment wrapText="1"/>
    </xf>
    <xf numFmtId="0" fontId="63" fillId="16" borderId="33" xfId="31" applyFont="1" applyAlignment="1">
      <alignment wrapText="1"/>
    </xf>
    <xf numFmtId="0" fontId="64" fillId="0" borderId="35" xfId="32" applyFont="1" applyFill="1" applyAlignment="1">
      <alignment wrapText="1"/>
    </xf>
    <xf numFmtId="0" fontId="58" fillId="0" borderId="0" xfId="34" applyFont="1" applyAlignment="1">
      <alignment vertical="center"/>
    </xf>
    <xf numFmtId="0" fontId="43" fillId="0" borderId="80" xfId="34" applyFont="1" applyFill="1" applyBorder="1" applyAlignment="1">
      <alignment wrapText="1"/>
    </xf>
    <xf numFmtId="0" fontId="43" fillId="0" borderId="2" xfId="34" applyFont="1" applyFill="1" applyBorder="1"/>
    <xf numFmtId="0" fontId="43" fillId="0" borderId="26" xfId="34" applyFont="1" applyFill="1" applyBorder="1"/>
    <xf numFmtId="0" fontId="32" fillId="0" borderId="80" xfId="34" applyBorder="1" applyAlignment="1">
      <alignment wrapText="1"/>
    </xf>
    <xf numFmtId="0" fontId="32" fillId="0" borderId="2" xfId="34" applyBorder="1"/>
    <xf numFmtId="0" fontId="32" fillId="0" borderId="26" xfId="34" applyBorder="1"/>
    <xf numFmtId="0" fontId="32" fillId="0" borderId="80" xfId="34" applyBorder="1"/>
    <xf numFmtId="0" fontId="32" fillId="0" borderId="81" xfId="34" applyBorder="1" applyAlignment="1">
      <alignment wrapText="1"/>
    </xf>
    <xf numFmtId="0" fontId="32" fillId="0" borderId="25" xfId="34" applyBorder="1"/>
    <xf numFmtId="0" fontId="32" fillId="0" borderId="82" xfId="34" applyBorder="1"/>
    <xf numFmtId="0" fontId="24" fillId="0" borderId="0" xfId="0" applyFont="1" applyAlignment="1">
      <alignment horizontal="center" wrapText="1"/>
    </xf>
    <xf numFmtId="0" fontId="43" fillId="0" borderId="0" xfId="34" applyFont="1"/>
    <xf numFmtId="0" fontId="43" fillId="0" borderId="2" xfId="34" applyFont="1" applyBorder="1"/>
    <xf numFmtId="0" fontId="43" fillId="0" borderId="26" xfId="34" applyFont="1" applyBorder="1"/>
    <xf numFmtId="0" fontId="68" fillId="0" borderId="0" xfId="0" applyFont="1" applyAlignment="1">
      <alignment horizontal="left"/>
    </xf>
    <xf numFmtId="0" fontId="17" fillId="0" borderId="9" xfId="0" applyFont="1" applyBorder="1" applyAlignment="1">
      <alignment horizontal="center" wrapText="1"/>
    </xf>
    <xf numFmtId="0" fontId="27" fillId="0" borderId="0" xfId="29" applyFill="1" applyBorder="1" applyAlignment="1">
      <alignment horizontal="center"/>
    </xf>
    <xf numFmtId="0" fontId="68" fillId="0" borderId="0" xfId="0" applyFont="1"/>
    <xf numFmtId="166" fontId="75" fillId="16" borderId="92" xfId="30" applyNumberFormat="1" applyFont="1" applyBorder="1" applyAlignment="1" applyProtection="1">
      <alignment horizontal="right" vertical="center"/>
    </xf>
    <xf numFmtId="166" fontId="75" fillId="16" borderId="43" xfId="30" applyNumberFormat="1" applyFont="1" applyBorder="1" applyAlignment="1" applyProtection="1">
      <alignment horizontal="right" vertical="center"/>
    </xf>
    <xf numFmtId="166" fontId="75" fillId="16" borderId="95" xfId="30" applyNumberFormat="1" applyFont="1" applyBorder="1" applyAlignment="1" applyProtection="1">
      <alignment horizontal="right" vertical="center"/>
    </xf>
    <xf numFmtId="166" fontId="75" fillId="16" borderId="93" xfId="30" applyNumberFormat="1" applyFont="1" applyBorder="1" applyAlignment="1" applyProtection="1">
      <alignment horizontal="right" vertical="center"/>
    </xf>
    <xf numFmtId="166" fontId="75" fillId="16" borderId="34" xfId="30" applyNumberFormat="1" applyFont="1" applyAlignment="1" applyProtection="1">
      <alignment horizontal="right" vertical="center"/>
    </xf>
    <xf numFmtId="9" fontId="1" fillId="12" borderId="0" xfId="37" applyNumberFormat="1" applyFill="1" applyBorder="1" applyAlignment="1" applyProtection="1">
      <alignment horizontal="right" vertical="center"/>
    </xf>
    <xf numFmtId="166" fontId="75" fillId="16" borderId="98" xfId="30" applyNumberFormat="1" applyFont="1" applyBorder="1" applyAlignment="1" applyProtection="1">
      <alignment horizontal="right" vertical="center"/>
    </xf>
    <xf numFmtId="9" fontId="1" fillId="12" borderId="103" xfId="37" applyNumberFormat="1" applyFill="1" applyBorder="1" applyAlignment="1" applyProtection="1">
      <alignment horizontal="right" vertical="center"/>
    </xf>
    <xf numFmtId="1" fontId="81" fillId="16" borderId="33" xfId="31" applyNumberFormat="1" applyFont="1"/>
    <xf numFmtId="44" fontId="81" fillId="16" borderId="33" xfId="31" applyNumberFormat="1" applyFont="1"/>
    <xf numFmtId="0" fontId="68" fillId="23" borderId="0" xfId="0" applyFont="1" applyFill="1" applyAlignment="1">
      <alignment wrapText="1"/>
    </xf>
    <xf numFmtId="0" fontId="68" fillId="13" borderId="0" xfId="0" applyFont="1" applyFill="1" applyAlignment="1">
      <alignment wrapText="1"/>
    </xf>
    <xf numFmtId="0" fontId="68" fillId="24" borderId="0" xfId="0" applyFont="1" applyFill="1" applyAlignment="1">
      <alignment wrapText="1"/>
    </xf>
    <xf numFmtId="0" fontId="85" fillId="0" borderId="0" xfId="34" applyFont="1"/>
    <xf numFmtId="0" fontId="89" fillId="0" borderId="0" xfId="0" applyFont="1" applyAlignment="1">
      <alignment horizontal="center"/>
    </xf>
    <xf numFmtId="167" fontId="77" fillId="21" borderId="123" xfId="30" applyNumberFormat="1" applyFont="1" applyFill="1" applyBorder="1" applyAlignment="1" applyProtection="1">
      <alignment horizontal="right" vertical="center"/>
    </xf>
    <xf numFmtId="0" fontId="17" fillId="0" borderId="0" xfId="0" applyFont="1" applyAlignment="1">
      <alignment wrapText="1"/>
    </xf>
    <xf numFmtId="2" fontId="29" fillId="16" borderId="33" xfId="31" applyNumberFormat="1" applyAlignment="1">
      <alignment horizontal="right" wrapText="1"/>
    </xf>
    <xf numFmtId="2" fontId="29" fillId="16" borderId="33" xfId="31" applyNumberFormat="1"/>
    <xf numFmtId="44" fontId="27" fillId="0" borderId="0" xfId="29" applyNumberFormat="1" applyFill="1" applyBorder="1" applyAlignment="1">
      <alignment horizontal="right"/>
    </xf>
    <xf numFmtId="44" fontId="27" fillId="0" borderId="0" xfId="29" applyNumberFormat="1" applyFill="1" applyBorder="1"/>
    <xf numFmtId="0" fontId="72" fillId="0" borderId="8" xfId="33" applyFont="1" applyBorder="1" applyAlignment="1">
      <alignment vertical="center" wrapText="1"/>
    </xf>
    <xf numFmtId="0" fontId="32" fillId="0" borderId="0" xfId="34" applyBorder="1" applyAlignment="1">
      <alignment horizontal="center"/>
    </xf>
    <xf numFmtId="0" fontId="0" fillId="0" borderId="4" xfId="0" applyBorder="1"/>
    <xf numFmtId="0" fontId="0" fillId="0" borderId="22" xfId="0" applyBorder="1"/>
    <xf numFmtId="0" fontId="43" fillId="0" borderId="0" xfId="34" applyFont="1" applyBorder="1" applyAlignment="1">
      <alignment wrapText="1"/>
    </xf>
    <xf numFmtId="1" fontId="32" fillId="0" borderId="0" xfId="34" applyNumberFormat="1" applyBorder="1" applyAlignment="1">
      <alignment horizontal="center"/>
    </xf>
    <xf numFmtId="168" fontId="32" fillId="0" borderId="0" xfId="34" applyNumberFormat="1" applyBorder="1" applyAlignment="1">
      <alignment horizontal="center"/>
    </xf>
    <xf numFmtId="9" fontId="32" fillId="0" borderId="0" xfId="34" applyNumberFormat="1" applyBorder="1" applyAlignment="1">
      <alignment horizontal="center"/>
    </xf>
    <xf numFmtId="9" fontId="32" fillId="0" borderId="0" xfId="34" applyNumberFormat="1" applyBorder="1" applyAlignment="1">
      <alignment horizontal="center" wrapText="1"/>
    </xf>
    <xf numFmtId="0" fontId="32" fillId="0" borderId="0" xfId="34" applyBorder="1" applyAlignment="1">
      <alignment horizontal="center" wrapText="1"/>
    </xf>
    <xf numFmtId="0" fontId="43" fillId="0" borderId="8" xfId="34" applyFont="1" applyBorder="1" applyAlignment="1">
      <alignment vertical="center" wrapText="1"/>
    </xf>
    <xf numFmtId="10" fontId="18" fillId="0" borderId="9" xfId="1" applyNumberFormat="1" applyFont="1" applyFill="1" applyBorder="1"/>
    <xf numFmtId="170" fontId="81" fillId="16" borderId="33" xfId="31" applyNumberFormat="1" applyFont="1"/>
    <xf numFmtId="170" fontId="70" fillId="0" borderId="0" xfId="0" applyNumberFormat="1" applyFont="1"/>
    <xf numFmtId="43" fontId="18" fillId="0" borderId="0" xfId="0" applyNumberFormat="1" applyFont="1"/>
    <xf numFmtId="0" fontId="19" fillId="0" borderId="0" xfId="19" applyFont="1" applyFill="1" applyBorder="1" applyAlignment="1">
      <alignment horizontal="center"/>
    </xf>
    <xf numFmtId="0" fontId="19" fillId="0" borderId="0" xfId="18" applyFont="1" applyFill="1" applyBorder="1" applyAlignment="1">
      <alignment horizontal="center"/>
    </xf>
    <xf numFmtId="0" fontId="30" fillId="0" borderId="35" xfId="32" applyAlignment="1">
      <alignment horizontal="left"/>
    </xf>
    <xf numFmtId="0" fontId="18" fillId="0" borderId="0" xfId="0" applyFont="1" applyAlignment="1">
      <alignment horizontal="center"/>
    </xf>
    <xf numFmtId="0" fontId="30" fillId="0" borderId="132" xfId="32" applyBorder="1"/>
    <xf numFmtId="0" fontId="30" fillId="0" borderId="132" xfId="32" applyBorder="1" applyAlignment="1">
      <alignment horizontal="left"/>
    </xf>
    <xf numFmtId="0" fontId="30" fillId="0" borderId="133" xfId="32" applyBorder="1"/>
    <xf numFmtId="0" fontId="39" fillId="0" borderId="0" xfId="0" applyFont="1"/>
    <xf numFmtId="0" fontId="39" fillId="0" borderId="130" xfId="0" applyFont="1" applyBorder="1"/>
    <xf numFmtId="1" fontId="30" fillId="16" borderId="132" xfId="32" applyNumberFormat="1" applyFill="1" applyBorder="1" applyAlignment="1">
      <alignment horizontal="center"/>
    </xf>
    <xf numFmtId="1" fontId="30" fillId="16" borderId="133" xfId="32" applyNumberFormat="1" applyFill="1" applyBorder="1" applyAlignment="1">
      <alignment horizontal="center"/>
    </xf>
    <xf numFmtId="1" fontId="30" fillId="12" borderId="133" xfId="32" applyNumberFormat="1" applyFill="1" applyBorder="1" applyAlignment="1">
      <alignment horizontal="center"/>
    </xf>
    <xf numFmtId="1" fontId="30" fillId="12" borderId="132" xfId="32" applyNumberFormat="1" applyFill="1" applyBorder="1" applyAlignment="1">
      <alignment horizontal="center"/>
    </xf>
    <xf numFmtId="0" fontId="18" fillId="0" borderId="131" xfId="0" applyFont="1" applyBorder="1"/>
    <xf numFmtId="41" fontId="28" fillId="16" borderId="43" xfId="30" applyNumberFormat="1" applyBorder="1"/>
    <xf numFmtId="41" fontId="28" fillId="16" borderId="59" xfId="30" applyNumberFormat="1" applyBorder="1"/>
    <xf numFmtId="41" fontId="29" fillId="16" borderId="74" xfId="31" applyNumberFormat="1" applyBorder="1"/>
    <xf numFmtId="0" fontId="72" fillId="8" borderId="0" xfId="33" applyFont="1" applyFill="1" applyBorder="1" applyAlignment="1">
      <alignment vertical="center" wrapText="1"/>
    </xf>
    <xf numFmtId="0" fontId="72" fillId="0" borderId="42" xfId="33" applyFont="1" applyBorder="1" applyAlignment="1">
      <alignment vertical="center" wrapText="1"/>
    </xf>
    <xf numFmtId="0" fontId="72" fillId="0" borderId="0" xfId="33" applyFont="1" applyBorder="1" applyAlignment="1">
      <alignment vertical="center" wrapText="1"/>
    </xf>
    <xf numFmtId="41" fontId="6" fillId="0" borderId="0" xfId="16" applyNumberFormat="1" applyFont="1" applyFill="1" applyBorder="1" applyAlignment="1">
      <alignment wrapText="1"/>
    </xf>
    <xf numFmtId="0" fontId="92" fillId="0" borderId="8" xfId="33" applyFont="1" applyBorder="1" applyAlignment="1">
      <alignment vertical="center" wrapText="1"/>
    </xf>
    <xf numFmtId="0" fontId="18" fillId="0" borderId="7" xfId="0" applyFont="1" applyBorder="1" applyAlignment="1">
      <alignment wrapText="1"/>
    </xf>
    <xf numFmtId="0" fontId="18" fillId="0" borderId="20" xfId="0" applyFont="1" applyBorder="1" applyAlignment="1">
      <alignment wrapText="1"/>
    </xf>
    <xf numFmtId="0" fontId="18" fillId="0" borderId="10" xfId="0" applyFont="1" applyBorder="1" applyAlignment="1">
      <alignment wrapText="1"/>
    </xf>
    <xf numFmtId="0" fontId="0" fillId="0" borderId="5" xfId="0" applyBorder="1"/>
    <xf numFmtId="0" fontId="0" fillId="0" borderId="67" xfId="0" applyBorder="1"/>
    <xf numFmtId="0" fontId="17" fillId="0" borderId="46" xfId="0" applyFont="1" applyBorder="1"/>
    <xf numFmtId="0" fontId="17" fillId="0" borderId="125" xfId="0" applyFont="1" applyBorder="1"/>
    <xf numFmtId="0" fontId="5" fillId="0" borderId="16" xfId="0" applyFont="1" applyBorder="1" applyAlignment="1">
      <alignment vertical="center"/>
    </xf>
    <xf numFmtId="0" fontId="5" fillId="0" borderId="108" xfId="0" applyFont="1" applyBorder="1" applyAlignment="1">
      <alignment vertical="center"/>
    </xf>
    <xf numFmtId="0" fontId="5" fillId="0" borderId="18" xfId="0" applyFont="1" applyBorder="1" applyAlignment="1">
      <alignment vertical="center"/>
    </xf>
    <xf numFmtId="0" fontId="5" fillId="0" borderId="10" xfId="0" applyFont="1" applyBorder="1" applyAlignment="1">
      <alignment vertical="center"/>
    </xf>
    <xf numFmtId="0" fontId="5" fillId="0" borderId="126" xfId="0" applyFont="1" applyBorder="1" applyAlignment="1">
      <alignment vertical="center"/>
    </xf>
    <xf numFmtId="0" fontId="5" fillId="0" borderId="127" xfId="0" applyFont="1" applyBorder="1" applyAlignment="1">
      <alignment vertical="center"/>
    </xf>
    <xf numFmtId="0" fontId="17" fillId="0" borderId="42" xfId="0" applyFont="1" applyBorder="1"/>
    <xf numFmtId="2" fontId="29" fillId="16" borderId="45" xfId="31" applyNumberFormat="1" applyBorder="1" applyAlignment="1">
      <alignment horizontal="right" wrapText="1"/>
    </xf>
    <xf numFmtId="2" fontId="29" fillId="16" borderId="45" xfId="31" applyNumberFormat="1" applyBorder="1"/>
    <xf numFmtId="0" fontId="11" fillId="0" borderId="0" xfId="0" applyFont="1"/>
    <xf numFmtId="10" fontId="18" fillId="0" borderId="47" xfId="1" applyNumberFormat="1" applyFont="1" applyFill="1" applyBorder="1"/>
    <xf numFmtId="10" fontId="18" fillId="0" borderId="134" xfId="1" applyNumberFormat="1" applyFont="1" applyFill="1" applyBorder="1"/>
    <xf numFmtId="10" fontId="18" fillId="0" borderId="56" xfId="1" applyNumberFormat="1" applyFont="1" applyFill="1" applyBorder="1"/>
    <xf numFmtId="0" fontId="82" fillId="24" borderId="0" xfId="0" applyFont="1" applyFill="1" applyAlignment="1">
      <alignment horizontal="center"/>
    </xf>
    <xf numFmtId="0" fontId="82" fillId="13" borderId="0" xfId="0" applyFont="1" applyFill="1" applyAlignment="1">
      <alignment horizontal="center"/>
    </xf>
    <xf numFmtId="0" fontId="55" fillId="0" borderId="0" xfId="38"/>
    <xf numFmtId="44" fontId="0" fillId="0" borderId="0" xfId="24" applyFont="1" applyFill="1"/>
    <xf numFmtId="44" fontId="8" fillId="0" borderId="0" xfId="24" applyFont="1" applyFill="1"/>
    <xf numFmtId="164" fontId="93" fillId="0" borderId="2" xfId="0" applyNumberFormat="1" applyFont="1" applyBorder="1" applyAlignment="1">
      <alignment horizontal="center" wrapText="1"/>
    </xf>
    <xf numFmtId="0" fontId="71" fillId="0" borderId="0" xfId="0" applyFont="1"/>
    <xf numFmtId="0" fontId="71" fillId="0" borderId="30" xfId="0" applyFont="1" applyBorder="1"/>
    <xf numFmtId="0" fontId="31" fillId="0" borderId="0" xfId="33" applyBorder="1" applyAlignment="1">
      <alignment vertical="center" wrapText="1"/>
    </xf>
    <xf numFmtId="0" fontId="72" fillId="8" borderId="42" xfId="33" applyFont="1" applyFill="1" applyBorder="1" applyAlignment="1">
      <alignment vertical="center" wrapText="1"/>
    </xf>
    <xf numFmtId="6" fontId="40" fillId="0" borderId="22" xfId="0" applyNumberFormat="1" applyFont="1" applyBorder="1"/>
    <xf numFmtId="6" fontId="40" fillId="0" borderId="30" xfId="0" applyNumberFormat="1" applyFont="1" applyBorder="1"/>
    <xf numFmtId="0" fontId="39" fillId="0" borderId="0" xfId="2" applyFont="1" applyAlignment="1">
      <alignment wrapText="1"/>
    </xf>
    <xf numFmtId="0" fontId="0" fillId="0" borderId="66" xfId="0" applyBorder="1"/>
    <xf numFmtId="0" fontId="0" fillId="0" borderId="109" xfId="0" applyBorder="1"/>
    <xf numFmtId="0" fontId="42" fillId="0" borderId="0" xfId="0" applyFont="1" applyAlignment="1">
      <alignment wrapText="1"/>
    </xf>
    <xf numFmtId="0" fontId="0" fillId="0" borderId="8" xfId="0" applyBorder="1"/>
    <xf numFmtId="0" fontId="39" fillId="0" borderId="76" xfId="0" applyFont="1" applyBorder="1" applyAlignment="1">
      <alignment wrapText="1"/>
    </xf>
    <xf numFmtId="0" fontId="37" fillId="26" borderId="0" xfId="0" applyFont="1" applyFill="1" applyAlignment="1">
      <alignment wrapText="1"/>
    </xf>
    <xf numFmtId="0" fontId="37" fillId="26" borderId="0" xfId="0" applyFont="1" applyFill="1" applyAlignment="1">
      <alignment horizontal="left" wrapText="1"/>
    </xf>
    <xf numFmtId="14" fontId="37" fillId="26" borderId="0" xfId="0" applyNumberFormat="1" applyFont="1" applyFill="1" applyAlignment="1">
      <alignment wrapText="1"/>
    </xf>
    <xf numFmtId="41" fontId="37" fillId="26" borderId="0" xfId="0" applyNumberFormat="1" applyFont="1" applyFill="1" applyAlignment="1">
      <alignment horizontal="center" wrapText="1"/>
    </xf>
    <xf numFmtId="41" fontId="37" fillId="26" borderId="53" xfId="0" applyNumberFormat="1" applyFont="1" applyFill="1" applyBorder="1" applyAlignment="1">
      <alignment horizontal="center" wrapText="1"/>
    </xf>
    <xf numFmtId="0" fontId="95" fillId="27" borderId="31" xfId="27" applyFont="1" applyFill="1" applyAlignment="1">
      <alignment vertical="center"/>
    </xf>
    <xf numFmtId="41" fontId="34" fillId="28" borderId="0" xfId="35" applyNumberFormat="1" applyFill="1" applyAlignment="1">
      <alignment horizontal="center" wrapText="1"/>
    </xf>
    <xf numFmtId="41" fontId="34" fillId="28" borderId="9" xfId="35" applyNumberFormat="1" applyFill="1" applyBorder="1" applyAlignment="1">
      <alignment horizontal="center" wrapText="1"/>
    </xf>
    <xf numFmtId="41" fontId="34" fillId="28" borderId="53" xfId="35" applyNumberFormat="1" applyFill="1" applyBorder="1" applyAlignment="1">
      <alignment horizontal="center" wrapText="1"/>
    </xf>
    <xf numFmtId="0" fontId="34" fillId="28" borderId="0" xfId="35" applyFill="1" applyAlignment="1">
      <alignment wrapText="1"/>
    </xf>
    <xf numFmtId="0" fontId="34" fillId="28" borderId="0" xfId="35" applyFill="1" applyAlignment="1">
      <alignment horizontal="left" wrapText="1"/>
    </xf>
    <xf numFmtId="0" fontId="34" fillId="28" borderId="9" xfId="35" applyFill="1" applyBorder="1" applyAlignment="1">
      <alignment horizontal="left" wrapText="1"/>
    </xf>
    <xf numFmtId="0" fontId="95" fillId="27" borderId="31" xfId="27" applyFont="1" applyFill="1" applyAlignment="1">
      <alignment horizontal="left"/>
    </xf>
    <xf numFmtId="167" fontId="95" fillId="27" borderId="31" xfId="27" applyNumberFormat="1" applyFont="1" applyFill="1"/>
    <xf numFmtId="167" fontId="25" fillId="20" borderId="0" xfId="27" applyNumberFormat="1" applyFill="1" applyBorder="1"/>
    <xf numFmtId="41" fontId="48" fillId="0" borderId="142" xfId="0" applyNumberFormat="1" applyFont="1" applyBorder="1" applyAlignment="1">
      <alignment wrapText="1"/>
    </xf>
    <xf numFmtId="167" fontId="26" fillId="20" borderId="0" xfId="28" applyNumberFormat="1" applyFill="1" applyBorder="1"/>
    <xf numFmtId="41" fontId="28" fillId="29" borderId="34" xfId="30" applyNumberFormat="1" applyFill="1" applyAlignment="1">
      <alignment horizontal="right"/>
    </xf>
    <xf numFmtId="41" fontId="28" fillId="29" borderId="2" xfId="30" applyNumberFormat="1" applyFill="1" applyBorder="1" applyAlignment="1">
      <alignment horizontal="right"/>
    </xf>
    <xf numFmtId="41" fontId="28" fillId="29" borderId="23" xfId="30" applyNumberFormat="1" applyFill="1" applyBorder="1"/>
    <xf numFmtId="41" fontId="18" fillId="29" borderId="2" xfId="0" applyNumberFormat="1" applyFont="1" applyFill="1" applyBorder="1" applyAlignment="1">
      <alignment horizontal="right"/>
    </xf>
    <xf numFmtId="41" fontId="18" fillId="29" borderId="54" xfId="0" applyNumberFormat="1" applyFont="1" applyFill="1" applyBorder="1"/>
    <xf numFmtId="41" fontId="28" fillId="29" borderId="54" xfId="30" applyNumberFormat="1" applyFill="1" applyBorder="1"/>
    <xf numFmtId="41" fontId="28" fillId="29" borderId="2" xfId="30" applyNumberFormat="1" applyFill="1" applyBorder="1"/>
    <xf numFmtId="41" fontId="28" fillId="29" borderId="52" xfId="30" applyNumberFormat="1" applyFill="1" applyBorder="1"/>
    <xf numFmtId="41" fontId="29" fillId="29" borderId="2" xfId="31" applyNumberFormat="1" applyFill="1" applyBorder="1" applyAlignment="1">
      <alignment horizontal="center"/>
    </xf>
    <xf numFmtId="41" fontId="29" fillId="29" borderId="57" xfId="31" applyNumberFormat="1" applyFill="1" applyBorder="1" applyAlignment="1">
      <alignment horizontal="center"/>
    </xf>
    <xf numFmtId="41" fontId="50" fillId="29" borderId="52" xfId="30" applyNumberFormat="1" applyFont="1" applyFill="1" applyBorder="1"/>
    <xf numFmtId="167" fontId="29" fillId="29" borderId="110" xfId="31" applyNumberFormat="1" applyFill="1" applyBorder="1"/>
    <xf numFmtId="167" fontId="29" fillId="29" borderId="69" xfId="31" applyNumberFormat="1" applyFill="1" applyBorder="1"/>
    <xf numFmtId="167" fontId="29" fillId="29" borderId="74" xfId="31" applyNumberFormat="1" applyFill="1" applyBorder="1"/>
    <xf numFmtId="44" fontId="29" fillId="29" borderId="110" xfId="31" applyNumberFormat="1" applyFill="1" applyBorder="1"/>
    <xf numFmtId="0" fontId="1" fillId="29" borderId="76" xfId="36" applyFill="1" applyBorder="1" applyAlignment="1">
      <alignment horizontal="left" wrapText="1"/>
    </xf>
    <xf numFmtId="167" fontId="1" fillId="29" borderId="76" xfId="36" applyNumberFormat="1" applyFill="1" applyBorder="1"/>
    <xf numFmtId="167" fontId="98" fillId="29" borderId="61" xfId="29" applyNumberFormat="1" applyFont="1" applyFill="1" applyBorder="1"/>
    <xf numFmtId="0" fontId="17" fillId="30" borderId="0" xfId="0" applyFont="1" applyFill="1" applyAlignment="1">
      <alignment wrapText="1"/>
    </xf>
    <xf numFmtId="41" fontId="27" fillId="32" borderId="33" xfId="29" applyNumberFormat="1" applyFill="1" applyAlignment="1">
      <alignment horizontal="right" wrapText="1"/>
    </xf>
    <xf numFmtId="0" fontId="27" fillId="32" borderId="33" xfId="29" applyFill="1" applyAlignment="1">
      <alignment horizontal="right" wrapText="1"/>
    </xf>
    <xf numFmtId="0" fontId="27" fillId="32" borderId="39" xfId="29" applyFill="1" applyBorder="1" applyAlignment="1">
      <alignment horizontal="right" wrapText="1"/>
    </xf>
    <xf numFmtId="0" fontId="27" fillId="32" borderId="129" xfId="29" applyFill="1" applyBorder="1" applyAlignment="1">
      <alignment horizontal="right" wrapText="1"/>
    </xf>
    <xf numFmtId="1" fontId="27" fillId="32" borderId="33" xfId="29" applyNumberFormat="1" applyFill="1" applyAlignment="1">
      <alignment horizontal="right" wrapText="1"/>
    </xf>
    <xf numFmtId="0" fontId="27" fillId="32" borderId="33" xfId="29" applyFill="1"/>
    <xf numFmtId="44" fontId="27" fillId="32" borderId="33" xfId="29" applyNumberFormat="1" applyFill="1" applyAlignment="1">
      <alignment horizontal="right"/>
    </xf>
    <xf numFmtId="2" fontId="27" fillId="32" borderId="33" xfId="29" applyNumberFormat="1" applyFill="1" applyAlignment="1">
      <alignment horizontal="right" wrapText="1"/>
    </xf>
    <xf numFmtId="41" fontId="27" fillId="32" borderId="33" xfId="29" applyNumberFormat="1" applyFill="1" applyAlignment="1">
      <alignment horizontal="right"/>
    </xf>
    <xf numFmtId="10" fontId="27" fillId="32" borderId="33" xfId="29" applyNumberFormat="1" applyFill="1" applyAlignment="1">
      <alignment horizontal="right" wrapText="1"/>
    </xf>
    <xf numFmtId="10" fontId="27" fillId="32" borderId="33" xfId="29" applyNumberFormat="1" applyFill="1" applyAlignment="1" applyProtection="1">
      <alignment horizontal="right"/>
    </xf>
    <xf numFmtId="41" fontId="27" fillId="32" borderId="69" xfId="29" applyNumberFormat="1" applyFill="1" applyBorder="1" applyAlignment="1">
      <alignment horizontal="center"/>
    </xf>
    <xf numFmtId="10" fontId="27" fillId="32" borderId="2" xfId="29" applyNumberFormat="1" applyFill="1" applyBorder="1" applyAlignment="1" applyProtection="1">
      <alignment horizontal="right"/>
    </xf>
    <xf numFmtId="10" fontId="27" fillId="32" borderId="39" xfId="29" applyNumberFormat="1" applyFill="1" applyBorder="1" applyAlignment="1" applyProtection="1">
      <alignment horizontal="right"/>
    </xf>
    <xf numFmtId="41" fontId="27" fillId="32" borderId="33" xfId="29" applyNumberFormat="1" applyFill="1"/>
    <xf numFmtId="41" fontId="27" fillId="32" borderId="111" xfId="29" applyNumberFormat="1" applyFill="1" applyBorder="1"/>
    <xf numFmtId="167" fontId="27" fillId="32" borderId="33" xfId="29" applyNumberFormat="1" applyFill="1"/>
    <xf numFmtId="167" fontId="27" fillId="32" borderId="45" xfId="29" applyNumberFormat="1" applyFill="1" applyBorder="1"/>
    <xf numFmtId="167" fontId="27" fillId="32" borderId="69" xfId="29" applyNumberFormat="1" applyFill="1" applyBorder="1"/>
    <xf numFmtId="167" fontId="27" fillId="32" borderId="49" xfId="29" applyNumberFormat="1" applyFill="1" applyBorder="1"/>
    <xf numFmtId="167" fontId="27" fillId="32" borderId="39" xfId="29" applyNumberFormat="1" applyFill="1" applyBorder="1"/>
    <xf numFmtId="41" fontId="27" fillId="32" borderId="111" xfId="29" applyNumberFormat="1" applyFill="1" applyBorder="1" applyAlignment="1"/>
    <xf numFmtId="41" fontId="27" fillId="32" borderId="110" xfId="29" applyNumberFormat="1" applyFill="1" applyBorder="1" applyAlignment="1"/>
    <xf numFmtId="41" fontId="27" fillId="32" borderId="38" xfId="29" applyNumberFormat="1" applyFill="1" applyBorder="1"/>
    <xf numFmtId="41" fontId="27" fillId="32" borderId="114" xfId="29" applyNumberFormat="1" applyFill="1" applyBorder="1"/>
    <xf numFmtId="41" fontId="27" fillId="32" borderId="71" xfId="29" applyNumberFormat="1" applyFill="1" applyBorder="1"/>
    <xf numFmtId="0" fontId="27" fillId="32" borderId="111" xfId="29" applyFill="1" applyBorder="1"/>
    <xf numFmtId="167" fontId="27" fillId="32" borderId="111" xfId="29" applyNumberFormat="1" applyFill="1" applyBorder="1"/>
    <xf numFmtId="0" fontId="62" fillId="32" borderId="33" xfId="29" applyFont="1" applyFill="1" applyAlignment="1">
      <alignment wrapText="1"/>
    </xf>
    <xf numFmtId="41" fontId="27" fillId="32" borderId="113" xfId="29" applyNumberFormat="1" applyFill="1" applyBorder="1" applyAlignment="1"/>
    <xf numFmtId="41" fontId="27" fillId="32" borderId="114" xfId="29" applyNumberFormat="1" applyFill="1" applyBorder="1" applyAlignment="1"/>
    <xf numFmtId="41" fontId="27" fillId="32" borderId="39" xfId="29" applyNumberFormat="1" applyFill="1" applyBorder="1"/>
    <xf numFmtId="169" fontId="27" fillId="32" borderId="77" xfId="1" applyNumberFormat="1" applyFont="1" applyFill="1" applyBorder="1" applyAlignment="1">
      <alignment horizontal="center" wrapText="1"/>
    </xf>
    <xf numFmtId="0" fontId="35" fillId="10" borderId="75" xfId="0" applyFont="1" applyFill="1" applyBorder="1" applyAlignment="1">
      <alignment wrapText="1"/>
    </xf>
    <xf numFmtId="0" fontId="35" fillId="10" borderId="73" xfId="0" applyFont="1" applyFill="1" applyBorder="1" applyAlignment="1">
      <alignment wrapText="1"/>
    </xf>
    <xf numFmtId="0" fontId="95" fillId="22" borderId="31" xfId="27" applyFont="1" applyFill="1" applyAlignment="1">
      <alignment vertical="center"/>
    </xf>
    <xf numFmtId="167" fontId="95" fillId="22" borderId="31" xfId="27" applyNumberFormat="1" applyFont="1" applyFill="1"/>
    <xf numFmtId="0" fontId="95" fillId="22" borderId="31" xfId="27" applyFont="1" applyFill="1" applyAlignment="1"/>
    <xf numFmtId="1" fontId="27" fillId="32" borderId="39" xfId="29" applyNumberFormat="1" applyFill="1" applyBorder="1" applyAlignment="1">
      <alignment horizontal="right" wrapText="1"/>
    </xf>
    <xf numFmtId="1" fontId="27" fillId="32" borderId="69" xfId="29" applyNumberFormat="1" applyFill="1" applyBorder="1" applyAlignment="1">
      <alignment horizontal="right" wrapText="1"/>
    </xf>
    <xf numFmtId="41" fontId="27" fillId="32" borderId="39" xfId="29" applyNumberFormat="1" applyFill="1" applyBorder="1" applyAlignment="1">
      <alignment horizontal="right"/>
    </xf>
    <xf numFmtId="41" fontId="27" fillId="32" borderId="69" xfId="29" applyNumberFormat="1" applyFill="1" applyBorder="1" applyAlignment="1">
      <alignment horizontal="right"/>
    </xf>
    <xf numFmtId="0" fontId="27" fillId="32" borderId="39" xfId="29" applyFill="1" applyBorder="1"/>
    <xf numFmtId="0" fontId="27" fillId="32" borderId="69" xfId="29" applyFill="1" applyBorder="1"/>
    <xf numFmtId="41" fontId="28" fillId="16" borderId="24" xfId="30" applyNumberFormat="1" applyBorder="1" applyAlignment="1">
      <alignment horizontal="right"/>
    </xf>
    <xf numFmtId="41" fontId="28" fillId="16" borderId="58" xfId="30" applyNumberFormat="1" applyBorder="1"/>
    <xf numFmtId="41" fontId="28" fillId="16" borderId="25" xfId="30" applyNumberFormat="1" applyBorder="1" applyAlignment="1">
      <alignment horizontal="right"/>
    </xf>
    <xf numFmtId="41" fontId="28" fillId="16" borderId="143" xfId="30" applyNumberFormat="1" applyBorder="1"/>
    <xf numFmtId="0" fontId="48" fillId="0" borderId="144" xfId="0" applyFont="1" applyBorder="1" applyAlignment="1">
      <alignment wrapText="1"/>
    </xf>
    <xf numFmtId="0" fontId="48" fillId="0" borderId="144" xfId="0" applyFont="1" applyBorder="1"/>
    <xf numFmtId="41" fontId="28" fillId="29" borderId="24" xfId="30" applyNumberFormat="1" applyFill="1" applyBorder="1" applyAlignment="1">
      <alignment horizontal="right"/>
    </xf>
    <xf numFmtId="41" fontId="28" fillId="29" borderId="58" xfId="30" applyNumberFormat="1" applyFill="1" applyBorder="1"/>
    <xf numFmtId="41" fontId="28" fillId="29" borderId="25" xfId="30" applyNumberFormat="1" applyFill="1" applyBorder="1" applyAlignment="1">
      <alignment horizontal="right"/>
    </xf>
    <xf numFmtId="41" fontId="28" fillId="29" borderId="143" xfId="30" applyNumberFormat="1" applyFill="1" applyBorder="1"/>
    <xf numFmtId="41" fontId="28" fillId="29" borderId="24" xfId="30" applyNumberFormat="1" applyFill="1" applyBorder="1"/>
    <xf numFmtId="41" fontId="28" fillId="29" borderId="59" xfId="30" applyNumberFormat="1" applyFill="1" applyBorder="1"/>
    <xf numFmtId="41" fontId="29" fillId="29" borderId="72" xfId="31" applyNumberFormat="1" applyFill="1" applyBorder="1" applyAlignment="1">
      <alignment horizontal="center"/>
    </xf>
    <xf numFmtId="41" fontId="50" fillId="29" borderId="70" xfId="30" applyNumberFormat="1" applyFont="1" applyFill="1" applyBorder="1"/>
    <xf numFmtId="41" fontId="16" fillId="29" borderId="59" xfId="30" applyNumberFormat="1" applyFont="1" applyFill="1" applyBorder="1"/>
    <xf numFmtId="1" fontId="80" fillId="31" borderId="33" xfId="29" applyNumberFormat="1" applyFont="1" applyFill="1"/>
    <xf numFmtId="0" fontId="80" fillId="31" borderId="33" xfId="29" applyFont="1" applyFill="1"/>
    <xf numFmtId="44" fontId="80" fillId="31" borderId="33" xfId="29" applyNumberFormat="1" applyFont="1" applyFill="1"/>
    <xf numFmtId="0" fontId="100" fillId="0" borderId="0" xfId="0" applyFont="1"/>
    <xf numFmtId="0" fontId="89" fillId="0" borderId="0" xfId="0" applyFont="1"/>
    <xf numFmtId="0" fontId="69" fillId="0" borderId="0" xfId="0" applyFont="1"/>
    <xf numFmtId="0" fontId="18" fillId="0" borderId="3" xfId="0" applyFont="1" applyBorder="1" applyAlignment="1">
      <alignment horizontal="left" wrapText="1"/>
    </xf>
    <xf numFmtId="0" fontId="18" fillId="0" borderId="5" xfId="0" applyFont="1" applyBorder="1" applyAlignment="1">
      <alignment horizontal="left" wrapText="1"/>
    </xf>
    <xf numFmtId="0" fontId="95" fillId="27" borderId="31" xfId="27" applyFont="1" applyFill="1" applyAlignment="1"/>
    <xf numFmtId="0" fontId="16" fillId="29" borderId="76" xfId="36" applyFont="1" applyFill="1" applyBorder="1" applyAlignment="1">
      <alignment horizontal="left" wrapText="1"/>
    </xf>
    <xf numFmtId="0" fontId="48" fillId="0" borderId="42" xfId="0" applyFont="1" applyBorder="1" applyAlignment="1">
      <alignment horizontal="center"/>
    </xf>
    <xf numFmtId="0" fontId="39" fillId="0" borderId="0" xfId="2" applyFont="1" applyAlignment="1">
      <alignment horizontal="center" wrapText="1"/>
    </xf>
    <xf numFmtId="0" fontId="86" fillId="0" borderId="0" xfId="34" applyFont="1"/>
    <xf numFmtId="0" fontId="105" fillId="0" borderId="0" xfId="0" applyFont="1" applyAlignment="1">
      <alignment wrapText="1"/>
    </xf>
    <xf numFmtId="0" fontId="105" fillId="0" borderId="0" xfId="0" applyFont="1"/>
    <xf numFmtId="0" fontId="54" fillId="16" borderId="123" xfId="30" applyFont="1" applyBorder="1" applyAlignment="1">
      <alignment wrapText="1"/>
    </xf>
    <xf numFmtId="0" fontId="54" fillId="10" borderId="0" xfId="30" applyFont="1" applyFill="1" applyBorder="1" applyAlignment="1">
      <alignment wrapText="1"/>
    </xf>
    <xf numFmtId="0" fontId="106" fillId="10" borderId="0" xfId="30" applyFont="1" applyFill="1" applyBorder="1" applyAlignment="1">
      <alignment horizontal="center" vertical="center" wrapText="1"/>
    </xf>
    <xf numFmtId="0" fontId="107" fillId="0" borderId="0" xfId="34" applyFont="1" applyAlignment="1">
      <alignment wrapText="1"/>
    </xf>
    <xf numFmtId="0" fontId="108" fillId="0" borderId="0" xfId="34" applyFont="1" applyAlignment="1">
      <alignment vertical="center"/>
    </xf>
    <xf numFmtId="0" fontId="110" fillId="0" borderId="0" xfId="0" applyFont="1"/>
    <xf numFmtId="0" fontId="111" fillId="0" borderId="0" xfId="0" applyFont="1"/>
    <xf numFmtId="0" fontId="112" fillId="0" borderId="0" xfId="0" applyFont="1"/>
    <xf numFmtId="0" fontId="58" fillId="0" borderId="0" xfId="34" applyFont="1" applyBorder="1" applyAlignment="1">
      <alignment wrapText="1"/>
    </xf>
    <xf numFmtId="0" fontId="108" fillId="0" borderId="0" xfId="34" applyFont="1" applyBorder="1" applyAlignment="1">
      <alignment vertical="center"/>
    </xf>
    <xf numFmtId="0" fontId="67" fillId="10" borderId="2" xfId="0" applyFont="1" applyFill="1" applyBorder="1" applyAlignment="1">
      <alignment wrapText="1"/>
    </xf>
    <xf numFmtId="9" fontId="116" fillId="32" borderId="2" xfId="1" applyFont="1" applyFill="1" applyBorder="1" applyAlignment="1">
      <alignment horizontal="center" wrapText="1"/>
    </xf>
    <xf numFmtId="0" fontId="5" fillId="10" borderId="0" xfId="0" applyFont="1" applyFill="1" applyAlignment="1">
      <alignment wrapText="1"/>
    </xf>
    <xf numFmtId="0" fontId="27" fillId="10" borderId="0" xfId="29" applyFill="1" applyBorder="1"/>
    <xf numFmtId="168" fontId="29" fillId="10" borderId="0" xfId="31" applyNumberFormat="1" applyFill="1" applyBorder="1"/>
    <xf numFmtId="0" fontId="116" fillId="32" borderId="2" xfId="0" applyFont="1" applyFill="1" applyBorder="1" applyAlignment="1">
      <alignment horizontal="center" wrapText="1"/>
    </xf>
    <xf numFmtId="9" fontId="27" fillId="10" borderId="0" xfId="1" applyFont="1" applyFill="1" applyBorder="1"/>
    <xf numFmtId="0" fontId="68" fillId="32" borderId="2" xfId="33" applyFont="1" applyFill="1" applyBorder="1" applyAlignment="1">
      <alignment horizontal="center" vertical="center" wrapText="1"/>
    </xf>
    <xf numFmtId="0" fontId="91" fillId="0" borderId="0" xfId="33" applyFont="1" applyFill="1" applyBorder="1" applyAlignment="1">
      <alignment vertical="center" wrapText="1"/>
    </xf>
    <xf numFmtId="0" fontId="67" fillId="0" borderId="2" xfId="33" applyFont="1" applyFill="1" applyBorder="1" applyAlignment="1">
      <alignment vertical="center" wrapText="1"/>
    </xf>
    <xf numFmtId="0" fontId="67" fillId="0" borderId="2" xfId="33" applyFont="1" applyFill="1" applyBorder="1" applyAlignment="1">
      <alignment horizontal="center" wrapText="1"/>
    </xf>
    <xf numFmtId="9" fontId="116" fillId="32" borderId="2" xfId="1" applyFont="1" applyFill="1" applyBorder="1" applyAlignment="1">
      <alignment vertical="center" wrapText="1"/>
    </xf>
    <xf numFmtId="2" fontId="116" fillId="32" borderId="2" xfId="1" applyNumberFormat="1" applyFont="1" applyFill="1" applyBorder="1" applyAlignment="1">
      <alignment vertical="center" wrapText="1"/>
    </xf>
    <xf numFmtId="2" fontId="29" fillId="16" borderId="146" xfId="31" applyNumberFormat="1" applyBorder="1" applyAlignment="1">
      <alignment vertical="center" wrapText="1"/>
    </xf>
    <xf numFmtId="9" fontId="116" fillId="10" borderId="0" xfId="1" applyFont="1" applyFill="1" applyBorder="1" applyAlignment="1">
      <alignment vertical="center" wrapText="1"/>
    </xf>
    <xf numFmtId="2" fontId="116" fillId="10" borderId="0" xfId="1" applyNumberFormat="1" applyFont="1" applyFill="1" applyBorder="1" applyAlignment="1">
      <alignment vertical="center" wrapText="1"/>
    </xf>
    <xf numFmtId="0" fontId="118" fillId="10" borderId="0" xfId="33" applyFont="1" applyFill="1" applyBorder="1" applyAlignment="1">
      <alignment horizontal="center" vertical="center" wrapText="1"/>
    </xf>
    <xf numFmtId="2" fontId="29" fillId="10" borderId="0" xfId="31" applyNumberFormat="1" applyFill="1" applyBorder="1" applyAlignment="1">
      <alignment vertical="center" wrapText="1"/>
    </xf>
    <xf numFmtId="44" fontId="116" fillId="32" borderId="2" xfId="21" applyFont="1" applyFill="1" applyBorder="1" applyAlignment="1">
      <alignment vertical="center"/>
    </xf>
    <xf numFmtId="2" fontId="116" fillId="0" borderId="2" xfId="1" applyNumberFormat="1" applyFont="1" applyFill="1" applyBorder="1" applyAlignment="1">
      <alignment horizontal="center" vertical="center"/>
    </xf>
    <xf numFmtId="44" fontId="116" fillId="10" borderId="7" xfId="21" applyFont="1" applyFill="1" applyBorder="1" applyAlignment="1">
      <alignment vertical="center"/>
    </xf>
    <xf numFmtId="2" fontId="116" fillId="10" borderId="0" xfId="1" applyNumberFormat="1" applyFont="1" applyFill="1" applyBorder="1" applyAlignment="1">
      <alignment horizontal="center" vertical="center"/>
    </xf>
    <xf numFmtId="44" fontId="29" fillId="10" borderId="7" xfId="21" applyFont="1" applyFill="1" applyBorder="1" applyAlignment="1">
      <alignment horizontal="center" vertical="center"/>
    </xf>
    <xf numFmtId="0" fontId="43" fillId="0" borderId="2" xfId="34" applyFont="1" applyBorder="1" applyAlignment="1"/>
    <xf numFmtId="0" fontId="32" fillId="0" borderId="0" xfId="34" applyBorder="1" applyAlignment="1"/>
    <xf numFmtId="14" fontId="88" fillId="32" borderId="4" xfId="29" applyNumberFormat="1" applyFont="1" applyFill="1" applyBorder="1"/>
    <xf numFmtId="41" fontId="47" fillId="10" borderId="46" xfId="0" applyNumberFormat="1" applyFont="1" applyFill="1" applyBorder="1"/>
    <xf numFmtId="41" fontId="38" fillId="0" borderId="46" xfId="0" applyNumberFormat="1" applyFont="1" applyBorder="1" applyAlignment="1">
      <alignment horizontal="center" wrapText="1"/>
    </xf>
    <xf numFmtId="167" fontId="51" fillId="20" borderId="0" xfId="21" applyNumberFormat="1" applyFont="1" applyFill="1" applyBorder="1"/>
    <xf numFmtId="41" fontId="47" fillId="0" borderId="46" xfId="0" applyNumberFormat="1" applyFont="1" applyBorder="1"/>
    <xf numFmtId="41" fontId="48" fillId="0" borderId="46" xfId="0" applyNumberFormat="1" applyFont="1" applyBorder="1" applyAlignment="1">
      <alignment horizontal="center" wrapText="1"/>
    </xf>
    <xf numFmtId="0" fontId="92" fillId="0" borderId="42" xfId="33" applyFont="1" applyBorder="1" applyAlignment="1">
      <alignment vertical="center" wrapText="1"/>
    </xf>
    <xf numFmtId="167" fontId="51" fillId="20" borderId="10" xfId="21" applyNumberFormat="1" applyFont="1" applyFill="1" applyBorder="1"/>
    <xf numFmtId="0" fontId="5" fillId="0" borderId="2" xfId="0" applyFont="1" applyBorder="1" applyAlignment="1">
      <alignment horizontal="left" vertical="top" wrapText="1"/>
    </xf>
    <xf numFmtId="41" fontId="27" fillId="32" borderId="33" xfId="29" applyNumberFormat="1" applyFill="1" applyAlignment="1">
      <alignment horizontal="right" vertical="center" wrapText="1"/>
    </xf>
    <xf numFmtId="164" fontId="93" fillId="0" borderId="2" xfId="0" applyNumberFormat="1" applyFont="1" applyBorder="1" applyAlignment="1">
      <alignment horizontal="left" vertical="center" wrapText="1"/>
    </xf>
    <xf numFmtId="167" fontId="51" fillId="20" borderId="109" xfId="21" applyNumberFormat="1" applyFont="1" applyFill="1" applyBorder="1"/>
    <xf numFmtId="41" fontId="28" fillId="16" borderId="150" xfId="30" applyNumberFormat="1" applyBorder="1" applyAlignment="1">
      <alignment horizontal="right"/>
    </xf>
    <xf numFmtId="2" fontId="29" fillId="16" borderId="33" xfId="31" applyNumberFormat="1" applyAlignment="1">
      <alignment vertical="center" wrapText="1"/>
    </xf>
    <xf numFmtId="41" fontId="28" fillId="16" borderId="123" xfId="30" applyNumberFormat="1" applyBorder="1" applyAlignment="1">
      <alignment horizontal="right"/>
    </xf>
    <xf numFmtId="167" fontId="26" fillId="21" borderId="0" xfId="21" applyNumberFormat="1" applyFont="1" applyFill="1" applyAlignment="1">
      <alignment horizontal="right"/>
    </xf>
    <xf numFmtId="167" fontId="26" fillId="21" borderId="152" xfId="21" applyNumberFormat="1" applyFont="1" applyFill="1" applyBorder="1" applyAlignment="1">
      <alignment horizontal="right"/>
    </xf>
    <xf numFmtId="0" fontId="26" fillId="38" borderId="0" xfId="17" applyFont="1" applyFill="1" applyBorder="1" applyAlignment="1"/>
    <xf numFmtId="41" fontId="38" fillId="0" borderId="153" xfId="0" applyNumberFormat="1" applyFont="1" applyBorder="1" applyAlignment="1">
      <alignment horizontal="center" wrapText="1"/>
    </xf>
    <xf numFmtId="167" fontId="51" fillId="20" borderId="0" xfId="21" applyNumberFormat="1" applyFont="1" applyFill="1" applyBorder="1" applyAlignment="1">
      <alignment wrapText="1"/>
    </xf>
    <xf numFmtId="167" fontId="51" fillId="20" borderId="8" xfId="21" applyNumberFormat="1" applyFont="1" applyFill="1" applyBorder="1" applyAlignment="1">
      <alignment wrapText="1"/>
    </xf>
    <xf numFmtId="0" fontId="26" fillId="39" borderId="0" xfId="39" applyFill="1" applyAlignment="1">
      <alignment horizontal="center"/>
    </xf>
    <xf numFmtId="167" fontId="26" fillId="39" borderId="0" xfId="39" applyNumberFormat="1" applyFill="1"/>
    <xf numFmtId="167" fontId="26" fillId="39" borderId="152" xfId="39" applyNumberFormat="1" applyFill="1" applyBorder="1"/>
    <xf numFmtId="0" fontId="0" fillId="20" borderId="0" xfId="0" applyFill="1"/>
    <xf numFmtId="167" fontId="26" fillId="39" borderId="0" xfId="17" applyNumberFormat="1" applyFont="1" applyFill="1" applyBorder="1"/>
    <xf numFmtId="0" fontId="26" fillId="39" borderId="0" xfId="17" applyFont="1" applyFill="1" applyAlignment="1"/>
    <xf numFmtId="41" fontId="48" fillId="0" borderId="154" xfId="0" applyNumberFormat="1" applyFont="1" applyBorder="1" applyAlignment="1">
      <alignment horizontal="center" wrapText="1"/>
    </xf>
    <xf numFmtId="41" fontId="28" fillId="16" borderId="55" xfId="30" applyNumberFormat="1" applyBorder="1"/>
    <xf numFmtId="41" fontId="28" fillId="16" borderId="155" xfId="30" applyNumberFormat="1" applyBorder="1"/>
    <xf numFmtId="167" fontId="26" fillId="39" borderId="11" xfId="21" applyNumberFormat="1" applyFont="1" applyFill="1" applyBorder="1" applyAlignment="1">
      <alignment horizontal="right"/>
    </xf>
    <xf numFmtId="167" fontId="51" fillId="20" borderId="10" xfId="21" applyNumberFormat="1" applyFont="1" applyFill="1" applyBorder="1" applyAlignment="1">
      <alignment wrapText="1"/>
    </xf>
    <xf numFmtId="41" fontId="26" fillId="39" borderId="3" xfId="17" applyNumberFormat="1" applyFont="1" applyFill="1" applyBorder="1" applyAlignment="1">
      <alignment horizontal="right"/>
    </xf>
    <xf numFmtId="41" fontId="26" fillId="39" borderId="145" xfId="17" applyNumberFormat="1" applyFont="1" applyFill="1" applyBorder="1" applyAlignment="1">
      <alignment horizontal="right"/>
    </xf>
    <xf numFmtId="41" fontId="26" fillId="39" borderId="54" xfId="17" applyNumberFormat="1" applyFont="1" applyFill="1" applyBorder="1" applyAlignment="1">
      <alignment horizontal="right"/>
    </xf>
    <xf numFmtId="0" fontId="26" fillId="39" borderId="0" xfId="17" applyFont="1" applyFill="1" applyBorder="1" applyAlignment="1"/>
    <xf numFmtId="0" fontId="26" fillId="38" borderId="32" xfId="28" applyFill="1" applyAlignment="1">
      <alignment horizontal="left"/>
    </xf>
    <xf numFmtId="167" fontId="26" fillId="38" borderId="32" xfId="21" applyNumberFormat="1" applyFont="1" applyFill="1" applyBorder="1" applyAlignment="1">
      <alignment horizontal="right"/>
    </xf>
    <xf numFmtId="0" fontId="33" fillId="38" borderId="0" xfId="20" applyFont="1" applyFill="1" applyBorder="1" applyAlignment="1"/>
    <xf numFmtId="41" fontId="17" fillId="0" borderId="46" xfId="0" applyNumberFormat="1" applyFont="1" applyBorder="1" applyAlignment="1">
      <alignment horizontal="center" wrapText="1"/>
    </xf>
    <xf numFmtId="167" fontId="26" fillId="38" borderId="156" xfId="21" applyNumberFormat="1" applyFont="1" applyFill="1" applyBorder="1" applyAlignment="1">
      <alignment horizontal="right"/>
    </xf>
    <xf numFmtId="0" fontId="33" fillId="39" borderId="0" xfId="17" applyFont="1" applyFill="1" applyBorder="1" applyAlignment="1"/>
    <xf numFmtId="41" fontId="48" fillId="0" borderId="157" xfId="0" applyNumberFormat="1" applyFont="1" applyBorder="1"/>
    <xf numFmtId="0" fontId="48" fillId="0" borderId="83" xfId="0" applyFont="1" applyBorder="1" applyAlignment="1">
      <alignment horizontal="center" wrapText="1"/>
    </xf>
    <xf numFmtId="0" fontId="0" fillId="0" borderId="40" xfId="0" applyBorder="1"/>
    <xf numFmtId="41" fontId="50" fillId="29" borderId="151" xfId="30" applyNumberFormat="1" applyFont="1" applyFill="1" applyBorder="1"/>
    <xf numFmtId="41" fontId="27" fillId="32" borderId="67" xfId="29" applyNumberFormat="1" applyFill="1" applyBorder="1" applyAlignment="1">
      <alignment horizontal="center"/>
    </xf>
    <xf numFmtId="41" fontId="27" fillId="32" borderId="25" xfId="29" applyNumberFormat="1" applyFill="1" applyBorder="1" applyAlignment="1">
      <alignment horizontal="center"/>
    </xf>
    <xf numFmtId="41" fontId="50" fillId="29" borderId="158" xfId="30" applyNumberFormat="1" applyFont="1" applyFill="1" applyBorder="1"/>
    <xf numFmtId="1" fontId="26" fillId="39" borderId="0" xfId="39" applyNumberFormat="1" applyFill="1" applyAlignment="1">
      <alignment horizontal="center"/>
    </xf>
    <xf numFmtId="167" fontId="26" fillId="39" borderId="159" xfId="21" applyNumberFormat="1" applyFont="1" applyFill="1" applyBorder="1" applyAlignment="1">
      <alignment horizontal="center"/>
    </xf>
    <xf numFmtId="167" fontId="26" fillId="39" borderId="30" xfId="21" applyNumberFormat="1" applyFont="1" applyFill="1" applyBorder="1"/>
    <xf numFmtId="44" fontId="33" fillId="39" borderId="27" xfId="21" applyFont="1" applyFill="1" applyBorder="1" applyAlignment="1">
      <alignment horizontal="center"/>
    </xf>
    <xf numFmtId="44" fontId="33" fillId="39" borderId="7" xfId="21" applyFont="1" applyFill="1" applyBorder="1"/>
    <xf numFmtId="41" fontId="48" fillId="0" borderId="91" xfId="0" applyNumberFormat="1" applyFont="1" applyBorder="1"/>
    <xf numFmtId="0" fontId="26" fillId="38" borderId="32" xfId="28" applyFill="1" applyAlignment="1">
      <alignment horizontal="center"/>
    </xf>
    <xf numFmtId="167" fontId="26" fillId="38" borderId="32" xfId="28" applyNumberFormat="1" applyFill="1" applyAlignment="1">
      <alignment horizontal="right"/>
    </xf>
    <xf numFmtId="167" fontId="26" fillId="38" borderId="0" xfId="28" applyNumberFormat="1" applyFill="1" applyBorder="1" applyAlignment="1">
      <alignment horizontal="right"/>
    </xf>
    <xf numFmtId="0" fontId="26" fillId="38" borderId="0" xfId="20" applyFont="1" applyFill="1" applyBorder="1" applyAlignment="1"/>
    <xf numFmtId="0" fontId="18" fillId="0" borderId="46" xfId="0" applyFont="1" applyBorder="1"/>
    <xf numFmtId="41" fontId="48" fillId="0" borderId="153" xfId="0" applyNumberFormat="1" applyFont="1" applyBorder="1" applyAlignment="1">
      <alignment horizontal="center"/>
    </xf>
    <xf numFmtId="41" fontId="47" fillId="0" borderId="160" xfId="0" applyNumberFormat="1" applyFont="1" applyBorder="1"/>
    <xf numFmtId="41" fontId="48" fillId="0" borderId="42" xfId="0" applyNumberFormat="1" applyFont="1" applyBorder="1" applyAlignment="1">
      <alignment horizontal="center" wrapText="1"/>
    </xf>
    <xf numFmtId="0" fontId="0" fillId="0" borderId="42" xfId="0" applyBorder="1"/>
    <xf numFmtId="167" fontId="26" fillId="38" borderId="32" xfId="21" applyNumberFormat="1" applyFont="1" applyFill="1" applyBorder="1"/>
    <xf numFmtId="167" fontId="26" fillId="38" borderId="161" xfId="21" applyNumberFormat="1" applyFont="1" applyFill="1" applyBorder="1"/>
    <xf numFmtId="167" fontId="26" fillId="38" borderId="162" xfId="21" applyNumberFormat="1" applyFont="1" applyFill="1" applyBorder="1"/>
    <xf numFmtId="44" fontId="26" fillId="38" borderId="0" xfId="21" applyFont="1" applyFill="1"/>
    <xf numFmtId="44" fontId="26" fillId="38" borderId="152" xfId="21" applyFont="1" applyFill="1" applyBorder="1"/>
    <xf numFmtId="41" fontId="47" fillId="10" borderId="4" xfId="0" applyNumberFormat="1" applyFont="1" applyFill="1" applyBorder="1"/>
    <xf numFmtId="41" fontId="48" fillId="0" borderId="46" xfId="0" applyNumberFormat="1" applyFont="1" applyBorder="1" applyAlignment="1">
      <alignment horizontal="center"/>
    </xf>
    <xf numFmtId="41" fontId="47" fillId="0" borderId="4" xfId="0" applyNumberFormat="1" applyFont="1" applyBorder="1"/>
    <xf numFmtId="0" fontId="0" fillId="0" borderId="163" xfId="0" applyBorder="1"/>
    <xf numFmtId="167" fontId="26" fillId="38" borderId="32" xfId="28" applyNumberFormat="1" applyFill="1"/>
    <xf numFmtId="167" fontId="26" fillId="38" borderId="161" xfId="28" applyNumberFormat="1" applyFill="1" applyBorder="1"/>
    <xf numFmtId="167" fontId="26" fillId="38" borderId="162" xfId="28" applyNumberFormat="1" applyFill="1" applyBorder="1"/>
    <xf numFmtId="41" fontId="48" fillId="0" borderId="153" xfId="0" applyNumberFormat="1" applyFont="1" applyBorder="1"/>
    <xf numFmtId="41" fontId="48" fillId="12" borderId="153" xfId="0" applyNumberFormat="1" applyFont="1" applyFill="1" applyBorder="1" applyAlignment="1">
      <alignment horizontal="center" wrapText="1"/>
    </xf>
    <xf numFmtId="167" fontId="28" fillId="29" borderId="115" xfId="21" applyNumberFormat="1" applyFont="1" applyFill="1" applyBorder="1"/>
    <xf numFmtId="167" fontId="28" fillId="29" borderId="52" xfId="21" applyNumberFormat="1" applyFont="1" applyFill="1" applyBorder="1"/>
    <xf numFmtId="44" fontId="26" fillId="38" borderId="116" xfId="21" applyFont="1" applyFill="1" applyBorder="1"/>
    <xf numFmtId="41" fontId="46" fillId="0" borderId="46" xfId="0" applyNumberFormat="1" applyFont="1" applyBorder="1" applyAlignment="1">
      <alignment horizontal="center"/>
    </xf>
    <xf numFmtId="0" fontId="18" fillId="0" borderId="10" xfId="0" applyFont="1" applyBorder="1"/>
    <xf numFmtId="44" fontId="18" fillId="29" borderId="50" xfId="21" applyFont="1" applyFill="1" applyBorder="1"/>
    <xf numFmtId="0" fontId="122" fillId="0" borderId="0" xfId="18" applyFont="1" applyFill="1" applyBorder="1"/>
    <xf numFmtId="0" fontId="122" fillId="0" borderId="0" xfId="19" applyFont="1" applyFill="1" applyBorder="1"/>
    <xf numFmtId="167" fontId="28" fillId="16" borderId="164" xfId="30" applyNumberFormat="1" applyBorder="1"/>
    <xf numFmtId="0" fontId="99" fillId="39" borderId="32" xfId="28" applyFont="1" applyFill="1" applyAlignment="1">
      <alignment horizontal="left" wrapText="1"/>
    </xf>
    <xf numFmtId="167" fontId="99" fillId="39" borderId="32" xfId="28" applyNumberFormat="1" applyFont="1" applyFill="1"/>
    <xf numFmtId="167" fontId="99" fillId="39" borderId="18" xfId="17" applyNumberFormat="1" applyFont="1" applyFill="1" applyBorder="1"/>
    <xf numFmtId="167" fontId="99" fillId="39" borderId="0" xfId="17" applyNumberFormat="1" applyFont="1" applyFill="1" applyBorder="1"/>
    <xf numFmtId="167" fontId="99" fillId="39" borderId="30" xfId="17" applyNumberFormat="1" applyFont="1" applyFill="1" applyBorder="1"/>
    <xf numFmtId="0" fontId="99" fillId="39" borderId="0" xfId="17" applyFont="1" applyFill="1" applyBorder="1" applyAlignment="1">
      <alignment wrapText="1"/>
    </xf>
    <xf numFmtId="44" fontId="99" fillId="38" borderId="0" xfId="35" applyNumberFormat="1" applyFont="1" applyFill="1" applyAlignment="1">
      <alignment horizontal="left"/>
    </xf>
    <xf numFmtId="167" fontId="99" fillId="38" borderId="0" xfId="35" applyNumberFormat="1" applyFont="1" applyFill="1"/>
    <xf numFmtId="167" fontId="99" fillId="38" borderId="0" xfId="35" applyNumberFormat="1" applyFont="1" applyFill="1" applyBorder="1"/>
    <xf numFmtId="167" fontId="99" fillId="38" borderId="18" xfId="20" applyNumberFormat="1" applyFont="1" applyFill="1" applyBorder="1"/>
    <xf numFmtId="167" fontId="99" fillId="38" borderId="0" xfId="20" applyNumberFormat="1" applyFont="1" applyFill="1" applyBorder="1"/>
    <xf numFmtId="0" fontId="99" fillId="38" borderId="0" xfId="20" applyFont="1" applyFill="1" applyBorder="1" applyAlignment="1"/>
    <xf numFmtId="167" fontId="15" fillId="12" borderId="76" xfId="21" applyNumberFormat="1" applyFont="1" applyFill="1" applyBorder="1"/>
    <xf numFmtId="167" fontId="16" fillId="38" borderId="117" xfId="21" applyNumberFormat="1" applyFont="1" applyFill="1" applyBorder="1" applyAlignment="1">
      <alignment wrapText="1"/>
    </xf>
    <xf numFmtId="167" fontId="16" fillId="38" borderId="75" xfId="21" applyNumberFormat="1" applyFont="1" applyFill="1" applyBorder="1" applyAlignment="1">
      <alignment wrapText="1"/>
    </xf>
    <xf numFmtId="0" fontId="35" fillId="38" borderId="75" xfId="0" applyFont="1" applyFill="1" applyBorder="1" applyAlignment="1">
      <alignment wrapText="1"/>
    </xf>
    <xf numFmtId="10" fontId="29" fillId="38" borderId="77" xfId="31" applyNumberFormat="1" applyFill="1" applyBorder="1" applyAlignment="1">
      <alignment wrapText="1"/>
    </xf>
    <xf numFmtId="0" fontId="35" fillId="38" borderId="30" xfId="0" applyFont="1" applyFill="1" applyBorder="1" applyAlignment="1">
      <alignment wrapText="1"/>
    </xf>
    <xf numFmtId="0" fontId="35" fillId="38" borderId="128" xfId="0" applyFont="1" applyFill="1" applyBorder="1" applyAlignment="1">
      <alignment wrapText="1"/>
    </xf>
    <xf numFmtId="167" fontId="16" fillId="10" borderId="117" xfId="21" applyNumberFormat="1" applyFont="1" applyFill="1" applyBorder="1" applyAlignment="1">
      <alignment wrapText="1"/>
    </xf>
    <xf numFmtId="167" fontId="16" fillId="10" borderId="75" xfId="21" applyNumberFormat="1" applyFont="1" applyFill="1" applyBorder="1" applyAlignment="1">
      <alignment wrapText="1"/>
    </xf>
    <xf numFmtId="167" fontId="16" fillId="10" borderId="73" xfId="21" applyNumberFormat="1" applyFont="1" applyFill="1" applyBorder="1" applyAlignment="1">
      <alignment wrapText="1"/>
    </xf>
    <xf numFmtId="0" fontId="95" fillId="27" borderId="0" xfId="27" applyFont="1" applyFill="1" applyBorder="1" applyAlignment="1">
      <alignment horizontal="left" vertical="center"/>
    </xf>
    <xf numFmtId="2" fontId="27" fillId="0" borderId="0" xfId="29" applyNumberFormat="1" applyFill="1" applyBorder="1" applyAlignment="1">
      <alignment horizontal="right" wrapText="1"/>
    </xf>
    <xf numFmtId="0" fontId="27" fillId="0" borderId="0" xfId="29" applyFill="1" applyBorder="1" applyAlignment="1">
      <alignment horizontal="right" wrapText="1"/>
    </xf>
    <xf numFmtId="167" fontId="27" fillId="32" borderId="38" xfId="29" applyNumberFormat="1" applyFill="1" applyBorder="1"/>
    <xf numFmtId="0" fontId="19" fillId="0" borderId="0" xfId="18" applyFont="1" applyFill="1" applyBorder="1" applyAlignment="1"/>
    <xf numFmtId="0" fontId="19" fillId="0" borderId="0" xfId="19" applyFont="1" applyFill="1" applyBorder="1" applyAlignment="1"/>
    <xf numFmtId="167" fontId="29" fillId="16" borderId="68" xfId="31" applyNumberFormat="1" applyBorder="1"/>
    <xf numFmtId="0" fontId="32" fillId="0" borderId="0" xfId="34" applyFill="1" applyBorder="1" applyAlignment="1"/>
    <xf numFmtId="0" fontId="32" fillId="0" borderId="0" xfId="34" applyFill="1" applyBorder="1" applyAlignment="1">
      <alignment horizontal="center"/>
    </xf>
    <xf numFmtId="41" fontId="27" fillId="32" borderId="168" xfId="29" applyNumberFormat="1" applyFill="1" applyBorder="1"/>
    <xf numFmtId="41" fontId="27" fillId="32" borderId="167" xfId="29" applyNumberFormat="1" applyFill="1" applyBorder="1"/>
    <xf numFmtId="0" fontId="39" fillId="0" borderId="169" xfId="0" applyFont="1" applyBorder="1" applyAlignment="1">
      <alignment horizontal="center"/>
    </xf>
    <xf numFmtId="0" fontId="18" fillId="0" borderId="169" xfId="0" applyFont="1" applyBorder="1" applyAlignment="1">
      <alignment horizontal="center"/>
    </xf>
    <xf numFmtId="167" fontId="27" fillId="32" borderId="170" xfId="29" applyNumberFormat="1" applyFill="1" applyBorder="1"/>
    <xf numFmtId="167" fontId="27" fillId="32" borderId="171" xfId="29" applyNumberFormat="1" applyFill="1" applyBorder="1"/>
    <xf numFmtId="167" fontId="27" fillId="32" borderId="172" xfId="29" applyNumberFormat="1" applyFill="1" applyBorder="1"/>
    <xf numFmtId="167" fontId="27" fillId="32" borderId="173" xfId="29" applyNumberFormat="1" applyFill="1" applyBorder="1"/>
    <xf numFmtId="2" fontId="27" fillId="32" borderId="168" xfId="29" applyNumberFormat="1" applyFill="1" applyBorder="1" applyAlignment="1">
      <alignment horizontal="right" wrapText="1"/>
    </xf>
    <xf numFmtId="0" fontId="27" fillId="32" borderId="168" xfId="29" applyFill="1" applyBorder="1"/>
    <xf numFmtId="0" fontId="27" fillId="32" borderId="174" xfId="29" applyFill="1" applyBorder="1"/>
    <xf numFmtId="0" fontId="27" fillId="32" borderId="175" xfId="29" applyFill="1" applyBorder="1"/>
    <xf numFmtId="0" fontId="19" fillId="0" borderId="169" xfId="18" applyFont="1" applyFill="1" applyBorder="1" applyAlignment="1">
      <alignment horizontal="center"/>
    </xf>
    <xf numFmtId="0" fontId="32" fillId="0" borderId="169" xfId="34" applyFill="1" applyBorder="1" applyAlignment="1">
      <alignment horizontal="center"/>
    </xf>
    <xf numFmtId="0" fontId="19" fillId="0" borderId="169" xfId="19" applyFont="1" applyFill="1" applyBorder="1" applyAlignment="1">
      <alignment horizontal="center"/>
    </xf>
    <xf numFmtId="0" fontId="27" fillId="32" borderId="179" xfId="29" applyFill="1" applyBorder="1" applyAlignment="1">
      <alignment horizontal="right" wrapText="1"/>
    </xf>
    <xf numFmtId="0" fontId="91" fillId="0" borderId="42" xfId="33" applyFont="1" applyBorder="1" applyAlignment="1">
      <alignment vertical="center" wrapText="1"/>
    </xf>
    <xf numFmtId="0" fontId="39" fillId="0" borderId="0" xfId="0" applyFont="1" applyAlignment="1">
      <alignment horizontal="center"/>
    </xf>
    <xf numFmtId="2" fontId="29" fillId="0" borderId="0" xfId="31" applyNumberFormat="1" applyFill="1" applyBorder="1" applyAlignment="1">
      <alignment horizontal="right" wrapText="1"/>
    </xf>
    <xf numFmtId="2" fontId="29" fillId="0" borderId="0" xfId="31" applyNumberFormat="1" applyFill="1" applyBorder="1"/>
    <xf numFmtId="2" fontId="29" fillId="16" borderId="168" xfId="31" applyNumberFormat="1" applyBorder="1" applyAlignment="1">
      <alignment horizontal="right" wrapText="1"/>
    </xf>
    <xf numFmtId="2" fontId="29" fillId="16" borderId="168" xfId="31" applyNumberFormat="1" applyBorder="1"/>
    <xf numFmtId="0" fontId="124" fillId="0" borderId="2" xfId="0" applyFont="1" applyBorder="1"/>
    <xf numFmtId="0" fontId="123" fillId="0" borderId="2" xfId="0" applyFont="1" applyBorder="1"/>
    <xf numFmtId="10" fontId="123" fillId="13" borderId="2" xfId="1" applyNumberFormat="1" applyFont="1" applyFill="1" applyBorder="1"/>
    <xf numFmtId="0" fontId="123" fillId="13" borderId="2" xfId="0" applyFont="1" applyFill="1" applyBorder="1"/>
    <xf numFmtId="0" fontId="123" fillId="0" borderId="0" xfId="0" applyFont="1"/>
    <xf numFmtId="9" fontId="1" fillId="21" borderId="30" xfId="37" applyNumberFormat="1" applyFill="1" applyBorder="1" applyAlignment="1">
      <alignment wrapText="1"/>
    </xf>
    <xf numFmtId="167" fontId="1" fillId="21" borderId="30" xfId="37" applyNumberFormat="1" applyFill="1" applyBorder="1" applyAlignment="1">
      <alignment wrapText="1"/>
    </xf>
    <xf numFmtId="10" fontId="29" fillId="21" borderId="117" xfId="31" applyNumberFormat="1" applyFill="1" applyBorder="1" applyAlignment="1">
      <alignment wrapText="1"/>
    </xf>
    <xf numFmtId="167" fontId="26" fillId="39" borderId="30" xfId="21" applyNumberFormat="1" applyFont="1" applyFill="1" applyBorder="1" applyAlignment="1">
      <alignment horizontal="center"/>
    </xf>
    <xf numFmtId="167" fontId="26" fillId="39" borderId="0" xfId="21" applyNumberFormat="1" applyFont="1" applyFill="1" applyBorder="1" applyAlignment="1">
      <alignment horizontal="center"/>
    </xf>
    <xf numFmtId="167" fontId="27" fillId="32" borderId="49" xfId="21" applyNumberFormat="1" applyFont="1" applyFill="1" applyBorder="1"/>
    <xf numFmtId="167" fontId="27" fillId="32" borderId="39" xfId="21" applyNumberFormat="1" applyFont="1" applyFill="1" applyBorder="1"/>
    <xf numFmtId="2" fontId="27" fillId="0" borderId="185" xfId="29" applyNumberFormat="1" applyFill="1" applyBorder="1" applyAlignment="1">
      <alignment horizontal="right" wrapText="1"/>
    </xf>
    <xf numFmtId="167" fontId="26" fillId="39" borderId="4" xfId="21" applyNumberFormat="1" applyFont="1" applyFill="1" applyBorder="1"/>
    <xf numFmtId="167" fontId="27" fillId="32" borderId="186" xfId="29" applyNumberFormat="1" applyFill="1" applyBorder="1"/>
    <xf numFmtId="167" fontId="27" fillId="32" borderId="187" xfId="29" applyNumberFormat="1" applyFill="1" applyBorder="1"/>
    <xf numFmtId="167" fontId="26" fillId="38" borderId="0" xfId="21" applyNumberFormat="1" applyFont="1" applyFill="1" applyBorder="1" applyAlignment="1">
      <alignment horizontal="right"/>
    </xf>
    <xf numFmtId="167" fontId="26" fillId="38" borderId="0" xfId="21" applyNumberFormat="1" applyFont="1" applyFill="1" applyAlignment="1">
      <alignment horizontal="right"/>
    </xf>
    <xf numFmtId="167" fontId="33" fillId="38" borderId="0" xfId="21" applyNumberFormat="1" applyFont="1" applyFill="1" applyAlignment="1">
      <alignment horizontal="right"/>
    </xf>
    <xf numFmtId="167" fontId="33" fillId="38" borderId="11" xfId="21" applyNumberFormat="1" applyFont="1" applyFill="1" applyBorder="1" applyAlignment="1">
      <alignment horizontal="right"/>
    </xf>
    <xf numFmtId="167" fontId="33" fillId="39" borderId="30" xfId="21" applyNumberFormat="1" applyFont="1" applyFill="1" applyBorder="1" applyAlignment="1">
      <alignment horizontal="center"/>
    </xf>
    <xf numFmtId="167" fontId="26" fillId="38" borderId="7" xfId="21" applyNumberFormat="1" applyFont="1" applyFill="1" applyBorder="1" applyAlignment="1">
      <alignment horizontal="right"/>
    </xf>
    <xf numFmtId="167" fontId="26" fillId="38" borderId="112" xfId="21" applyNumberFormat="1" applyFont="1" applyFill="1" applyBorder="1"/>
    <xf numFmtId="167" fontId="26" fillId="38" borderId="0" xfId="21" applyNumberFormat="1" applyFont="1" applyFill="1"/>
    <xf numFmtId="167" fontId="26" fillId="38" borderId="152" xfId="21" applyNumberFormat="1" applyFont="1" applyFill="1" applyBorder="1"/>
    <xf numFmtId="167" fontId="26" fillId="38" borderId="11" xfId="21" applyNumberFormat="1" applyFont="1" applyFill="1" applyBorder="1"/>
    <xf numFmtId="0" fontId="127" fillId="0" borderId="0" xfId="0" applyFont="1" applyAlignment="1">
      <alignment horizontal="left"/>
    </xf>
    <xf numFmtId="0" fontId="128" fillId="41" borderId="0" xfId="0" applyFont="1" applyFill="1"/>
    <xf numFmtId="0" fontId="14" fillId="0" borderId="6" xfId="26" applyAlignment="1">
      <alignment horizontal="center"/>
    </xf>
    <xf numFmtId="0" fontId="116" fillId="0" borderId="0" xfId="0" applyFont="1"/>
    <xf numFmtId="0" fontId="26" fillId="0" borderId="32" xfId="28" applyAlignment="1">
      <alignment horizontal="center"/>
    </xf>
    <xf numFmtId="0" fontId="26" fillId="0" borderId="32" xfId="28"/>
    <xf numFmtId="0" fontId="68" fillId="0" borderId="2" xfId="0" applyFont="1" applyBorder="1" applyAlignment="1">
      <alignment horizontal="left" vertical="center"/>
    </xf>
    <xf numFmtId="0" fontId="68" fillId="0" borderId="2" xfId="0" applyFont="1" applyBorder="1" applyAlignment="1">
      <alignment vertical="center"/>
    </xf>
    <xf numFmtId="167" fontId="28" fillId="16" borderId="34" xfId="30" applyNumberFormat="1" applyAlignment="1">
      <alignment vertical="center"/>
    </xf>
    <xf numFmtId="167" fontId="28" fillId="38" borderId="34" xfId="30" applyNumberFormat="1" applyFill="1" applyAlignment="1">
      <alignment vertical="center"/>
    </xf>
    <xf numFmtId="167" fontId="28" fillId="21" borderId="34" xfId="30" applyNumberFormat="1" applyFill="1" applyAlignment="1">
      <alignment vertical="center"/>
    </xf>
    <xf numFmtId="167" fontId="28" fillId="12" borderId="34" xfId="30" applyNumberFormat="1" applyFill="1" applyAlignment="1">
      <alignment vertical="center"/>
    </xf>
    <xf numFmtId="0" fontId="68" fillId="0" borderId="51" xfId="0" applyFont="1" applyBorder="1" applyAlignment="1">
      <alignment vertical="center"/>
    </xf>
    <xf numFmtId="41" fontId="70" fillId="38" borderId="2" xfId="0" applyNumberFormat="1" applyFont="1" applyFill="1" applyBorder="1"/>
    <xf numFmtId="41" fontId="129" fillId="12" borderId="2" xfId="0" applyNumberFormat="1" applyFont="1" applyFill="1" applyBorder="1"/>
    <xf numFmtId="41" fontId="116" fillId="0" borderId="0" xfId="0" applyNumberFormat="1" applyFont="1"/>
    <xf numFmtId="41" fontId="28" fillId="38" borderId="34" xfId="30" applyNumberFormat="1" applyFill="1"/>
    <xf numFmtId="41" fontId="28" fillId="21" borderId="34" xfId="30" applyNumberFormat="1" applyFill="1"/>
    <xf numFmtId="41" fontId="28" fillId="12" borderId="34" xfId="30" applyNumberFormat="1" applyFill="1"/>
    <xf numFmtId="41" fontId="129" fillId="38" borderId="2" xfId="0" applyNumberFormat="1" applyFont="1" applyFill="1" applyBorder="1"/>
    <xf numFmtId="0" fontId="116" fillId="0" borderId="0" xfId="0" applyFont="1" applyAlignment="1">
      <alignment horizontal="center"/>
    </xf>
    <xf numFmtId="0" fontId="116" fillId="0" borderId="2" xfId="0" applyFont="1" applyBorder="1"/>
    <xf numFmtId="41" fontId="130" fillId="16" borderId="34" xfId="30" applyNumberFormat="1" applyFont="1"/>
    <xf numFmtId="41" fontId="130" fillId="38" borderId="34" xfId="30" applyNumberFormat="1" applyFont="1" applyFill="1"/>
    <xf numFmtId="41" fontId="130" fillId="21" borderId="34" xfId="30" applyNumberFormat="1" applyFont="1" applyFill="1"/>
    <xf numFmtId="41" fontId="130" fillId="12" borderId="34" xfId="30" applyNumberFormat="1" applyFont="1" applyFill="1"/>
    <xf numFmtId="0" fontId="116" fillId="0" borderId="25" xfId="0" applyFont="1" applyBorder="1"/>
    <xf numFmtId="41" fontId="130" fillId="16" borderId="188" xfId="30" applyNumberFormat="1" applyFont="1" applyBorder="1"/>
    <xf numFmtId="41" fontId="130" fillId="38" borderId="188" xfId="30" applyNumberFormat="1" applyFont="1" applyFill="1" applyBorder="1"/>
    <xf numFmtId="41" fontId="130" fillId="21" borderId="188" xfId="30" applyNumberFormat="1" applyFont="1" applyFill="1" applyBorder="1"/>
    <xf numFmtId="41" fontId="130" fillId="12" borderId="48" xfId="30" applyNumberFormat="1" applyFont="1" applyFill="1" applyBorder="1"/>
    <xf numFmtId="0" fontId="116" fillId="0" borderId="24" xfId="0" applyFont="1" applyBorder="1"/>
    <xf numFmtId="41" fontId="130" fillId="16" borderId="43" xfId="30" applyNumberFormat="1" applyFont="1" applyBorder="1"/>
    <xf numFmtId="41" fontId="130" fillId="38" borderId="43" xfId="30" applyNumberFormat="1" applyFont="1" applyFill="1" applyBorder="1"/>
    <xf numFmtId="41" fontId="130" fillId="21" borderId="43" xfId="30" applyNumberFormat="1" applyFont="1" applyFill="1" applyBorder="1"/>
    <xf numFmtId="41" fontId="130" fillId="12" borderId="189" xfId="30" applyNumberFormat="1" applyFont="1" applyFill="1" applyBorder="1"/>
    <xf numFmtId="41" fontId="130" fillId="21" borderId="190" xfId="30" applyNumberFormat="1" applyFont="1" applyFill="1" applyBorder="1"/>
    <xf numFmtId="41" fontId="130" fillId="12" borderId="188" xfId="30" applyNumberFormat="1" applyFont="1" applyFill="1" applyBorder="1"/>
    <xf numFmtId="41" fontId="130" fillId="12" borderId="43" xfId="30" applyNumberFormat="1" applyFont="1" applyFill="1" applyBorder="1"/>
    <xf numFmtId="41" fontId="130" fillId="38" borderId="48" xfId="30" applyNumberFormat="1" applyFont="1" applyFill="1" applyBorder="1"/>
    <xf numFmtId="41" fontId="130" fillId="38" borderId="189" xfId="30" applyNumberFormat="1" applyFont="1" applyFill="1" applyBorder="1"/>
    <xf numFmtId="41" fontId="129" fillId="38" borderId="0" xfId="0" applyNumberFormat="1" applyFont="1" applyFill="1"/>
    <xf numFmtId="167" fontId="95" fillId="22" borderId="191" xfId="27" applyNumberFormat="1" applyFont="1" applyFill="1" applyBorder="1"/>
    <xf numFmtId="9" fontId="27" fillId="32" borderId="30" xfId="29" applyNumberFormat="1" applyFill="1" applyBorder="1" applyAlignment="1">
      <alignment horizontal="center" wrapText="1"/>
    </xf>
    <xf numFmtId="167" fontId="33" fillId="39" borderId="4" xfId="21" applyNumberFormat="1" applyFont="1" applyFill="1" applyBorder="1" applyAlignment="1">
      <alignment horizontal="right"/>
    </xf>
    <xf numFmtId="0" fontId="125" fillId="0" borderId="2" xfId="0" applyFont="1" applyBorder="1" applyAlignment="1">
      <alignment horizontal="left" vertical="top" wrapText="1"/>
    </xf>
    <xf numFmtId="0" fontId="125" fillId="0" borderId="2" xfId="0" applyFont="1" applyBorder="1" applyAlignment="1">
      <alignment wrapText="1"/>
    </xf>
    <xf numFmtId="0" fontId="132" fillId="0" borderId="0" xfId="0" applyFont="1" applyAlignment="1">
      <alignment wrapText="1"/>
    </xf>
    <xf numFmtId="0" fontId="132" fillId="0" borderId="22" xfId="0" applyFont="1" applyBorder="1" applyAlignment="1">
      <alignment wrapText="1"/>
    </xf>
    <xf numFmtId="0" fontId="132" fillId="0" borderId="30" xfId="0" applyFont="1" applyBorder="1" applyAlignment="1">
      <alignment wrapText="1"/>
    </xf>
    <xf numFmtId="0" fontId="132" fillId="0" borderId="0" xfId="0" applyFont="1"/>
    <xf numFmtId="0" fontId="132" fillId="0" borderId="30" xfId="0" applyFont="1" applyBorder="1"/>
    <xf numFmtId="0" fontId="133" fillId="0" borderId="0" xfId="18" applyFont="1" applyFill="1" applyBorder="1" applyAlignment="1"/>
    <xf numFmtId="0" fontId="133" fillId="0" borderId="22" xfId="18" applyFont="1" applyFill="1" applyBorder="1" applyAlignment="1"/>
    <xf numFmtId="0" fontId="133" fillId="0" borderId="0" xfId="19" applyFont="1" applyFill="1" applyBorder="1" applyAlignment="1"/>
    <xf numFmtId="0" fontId="133" fillId="0" borderId="22" xfId="19" applyFont="1" applyFill="1" applyBorder="1" applyAlignment="1"/>
    <xf numFmtId="0" fontId="125" fillId="0" borderId="2" xfId="0" applyFont="1" applyBorder="1" applyAlignment="1">
      <alignment vertical="top" wrapText="1"/>
    </xf>
    <xf numFmtId="6" fontId="134" fillId="0" borderId="0" xfId="0" applyNumberFormat="1" applyFont="1"/>
    <xf numFmtId="165" fontId="124" fillId="0" borderId="0" xfId="0" applyNumberFormat="1" applyFont="1" applyAlignment="1">
      <alignment wrapText="1"/>
    </xf>
    <xf numFmtId="6" fontId="134" fillId="0" borderId="0" xfId="0" applyNumberFormat="1" applyFont="1" applyAlignment="1">
      <alignment wrapText="1"/>
    </xf>
    <xf numFmtId="0" fontId="124" fillId="0" borderId="0" xfId="0" applyFont="1" applyAlignment="1">
      <alignment wrapText="1"/>
    </xf>
    <xf numFmtId="0" fontId="124" fillId="0" borderId="29" xfId="0" applyFont="1" applyBorder="1" applyAlignment="1">
      <alignment wrapText="1"/>
    </xf>
    <xf numFmtId="167" fontId="134" fillId="0" borderId="29" xfId="24" applyNumberFormat="1" applyFont="1" applyBorder="1"/>
    <xf numFmtId="165" fontId="124" fillId="0" borderId="29" xfId="0" applyNumberFormat="1" applyFont="1" applyBorder="1" applyAlignment="1">
      <alignment wrapText="1"/>
    </xf>
    <xf numFmtId="167" fontId="134" fillId="0" borderId="29" xfId="24" applyNumberFormat="1" applyFont="1" applyBorder="1" applyAlignment="1">
      <alignment wrapText="1"/>
    </xf>
    <xf numFmtId="0" fontId="123" fillId="0" borderId="29" xfId="0" applyFont="1" applyBorder="1"/>
    <xf numFmtId="0" fontId="135" fillId="0" borderId="29" xfId="0" applyFont="1" applyBorder="1" applyAlignment="1">
      <alignment vertical="center" wrapText="1"/>
    </xf>
    <xf numFmtId="165" fontId="124" fillId="0" borderId="29" xfId="17" applyNumberFormat="1" applyFont="1" applyFill="1" applyBorder="1" applyAlignment="1" applyProtection="1">
      <alignment horizontal="right"/>
    </xf>
    <xf numFmtId="0" fontId="43" fillId="0" borderId="79" xfId="34" applyFont="1" applyBorder="1" applyAlignment="1">
      <alignment horizontal="center"/>
    </xf>
    <xf numFmtId="0" fontId="43" fillId="0" borderId="27" xfId="34" applyFont="1" applyBorder="1" applyAlignment="1">
      <alignment horizontal="center"/>
    </xf>
    <xf numFmtId="0" fontId="43" fillId="0" borderId="28" xfId="34" applyFont="1" applyBorder="1" applyAlignment="1">
      <alignment horizontal="center"/>
    </xf>
    <xf numFmtId="0" fontId="67" fillId="0" borderId="2" xfId="33" applyFont="1" applyFill="1" applyBorder="1" applyAlignment="1">
      <alignment horizontal="center" vertical="center" wrapText="1"/>
    </xf>
    <xf numFmtId="0" fontId="118" fillId="0" borderId="2" xfId="33" applyFont="1" applyFill="1" applyBorder="1" applyAlignment="1">
      <alignment horizontal="center" vertical="center" wrapText="1"/>
    </xf>
    <xf numFmtId="0" fontId="115" fillId="10" borderId="32" xfId="28" applyFont="1" applyFill="1" applyAlignment="1">
      <alignment horizontal="center" wrapText="1"/>
    </xf>
    <xf numFmtId="0" fontId="67" fillId="0" borderId="147" xfId="33" applyFont="1" applyFill="1" applyBorder="1" applyAlignment="1">
      <alignment horizontal="center" vertical="center" wrapText="1"/>
    </xf>
    <xf numFmtId="0" fontId="67" fillId="0" borderId="148" xfId="33" applyFont="1" applyFill="1" applyBorder="1" applyAlignment="1">
      <alignment horizontal="center" vertical="center" wrapText="1"/>
    </xf>
    <xf numFmtId="0" fontId="67" fillId="0" borderId="149" xfId="33" applyFont="1" applyFill="1" applyBorder="1" applyAlignment="1">
      <alignment horizontal="center" vertical="center" wrapText="1"/>
    </xf>
    <xf numFmtId="44" fontId="29" fillId="16" borderId="3" xfId="21" applyFont="1" applyFill="1" applyBorder="1" applyAlignment="1">
      <alignment horizontal="center" vertical="center"/>
    </xf>
    <xf numFmtId="44" fontId="29" fillId="16" borderId="4" xfId="21" applyFont="1" applyFill="1" applyBorder="1" applyAlignment="1">
      <alignment horizontal="center" vertical="center"/>
    </xf>
    <xf numFmtId="44" fontId="29" fillId="16" borderId="5" xfId="21" applyFont="1" applyFill="1" applyBorder="1" applyAlignment="1">
      <alignment horizontal="center" vertical="center"/>
    </xf>
    <xf numFmtId="0" fontId="67" fillId="10" borderId="3" xfId="29" applyFont="1" applyFill="1" applyBorder="1" applyAlignment="1">
      <alignment horizontal="center"/>
    </xf>
    <xf numFmtId="0" fontId="67" fillId="10" borderId="5" xfId="29" applyFont="1" applyFill="1" applyBorder="1" applyAlignment="1">
      <alignment horizontal="center"/>
    </xf>
    <xf numFmtId="168" fontId="67" fillId="10" borderId="2" xfId="31" applyNumberFormat="1" applyFont="1" applyFill="1" applyBorder="1" applyAlignment="1">
      <alignment horizontal="center"/>
    </xf>
    <xf numFmtId="0" fontId="117" fillId="0" borderId="2" xfId="33" applyFont="1" applyFill="1" applyBorder="1" applyAlignment="1">
      <alignment horizontal="center" vertical="center" wrapText="1"/>
    </xf>
    <xf numFmtId="2" fontId="29" fillId="16" borderId="33" xfId="31" applyNumberFormat="1" applyAlignment="1">
      <alignment horizontal="center" vertical="center" wrapText="1"/>
    </xf>
    <xf numFmtId="0" fontId="117" fillId="10" borderId="2" xfId="29" applyFont="1" applyFill="1" applyBorder="1" applyAlignment="1">
      <alignment horizontal="center"/>
    </xf>
    <xf numFmtId="168" fontId="29" fillId="16" borderId="33" xfId="31" applyNumberFormat="1" applyAlignment="1">
      <alignment horizontal="center"/>
    </xf>
    <xf numFmtId="0" fontId="117" fillId="10" borderId="2" xfId="1" applyNumberFormat="1" applyFont="1" applyFill="1" applyBorder="1" applyAlignment="1">
      <alignment horizontal="center"/>
    </xf>
    <xf numFmtId="2" fontId="29" fillId="16" borderId="33" xfId="31" applyNumberFormat="1" applyAlignment="1">
      <alignment horizontal="center"/>
    </xf>
    <xf numFmtId="0" fontId="103" fillId="34" borderId="0" xfId="38" applyFont="1" applyFill="1" applyAlignment="1">
      <alignment horizontal="center" vertical="center"/>
    </xf>
    <xf numFmtId="0" fontId="52" fillId="11" borderId="0" xfId="0" applyFont="1" applyFill="1" applyAlignment="1">
      <alignment horizontal="center" wrapText="1"/>
    </xf>
    <xf numFmtId="0" fontId="52" fillId="33" borderId="0" xfId="0" applyFont="1" applyFill="1" applyAlignment="1">
      <alignment horizontal="center" wrapText="1"/>
    </xf>
    <xf numFmtId="0" fontId="25" fillId="0" borderId="31" xfId="27" applyFill="1" applyAlignment="1">
      <alignment horizontal="center"/>
    </xf>
    <xf numFmtId="0" fontId="67" fillId="10" borderId="2" xfId="0" applyFont="1" applyFill="1" applyBorder="1" applyAlignment="1">
      <alignment horizontal="center" wrapText="1"/>
    </xf>
    <xf numFmtId="0" fontId="67" fillId="10" borderId="3" xfId="0" applyFont="1" applyFill="1" applyBorder="1" applyAlignment="1">
      <alignment horizontal="center"/>
    </xf>
    <xf numFmtId="0" fontId="67" fillId="10" borderId="5" xfId="0" applyFont="1" applyFill="1" applyBorder="1" applyAlignment="1">
      <alignment horizontal="center"/>
    </xf>
    <xf numFmtId="0" fontId="24" fillId="14" borderId="0" xfId="0" applyFont="1" applyFill="1" applyAlignment="1">
      <alignment horizontal="center" wrapText="1"/>
    </xf>
    <xf numFmtId="0" fontId="24" fillId="35" borderId="0" xfId="0" applyFont="1" applyFill="1" applyAlignment="1">
      <alignment horizontal="center" wrapText="1"/>
    </xf>
    <xf numFmtId="0" fontId="104" fillId="36" borderId="0" xfId="0" applyFont="1" applyFill="1" applyAlignment="1">
      <alignment horizontal="center" wrapText="1"/>
    </xf>
    <xf numFmtId="0" fontId="52" fillId="37" borderId="0" xfId="0" applyFont="1" applyFill="1" applyAlignment="1">
      <alignment horizontal="center" wrapText="1"/>
    </xf>
    <xf numFmtId="0" fontId="18" fillId="0" borderId="3" xfId="0" applyFont="1" applyBorder="1" applyAlignment="1">
      <alignment horizontal="center"/>
    </xf>
    <xf numFmtId="0" fontId="18" fillId="0" borderId="4" xfId="0" applyFont="1" applyBorder="1" applyAlignment="1">
      <alignment horizontal="center"/>
    </xf>
    <xf numFmtId="0" fontId="18" fillId="0" borderId="5" xfId="0" applyFont="1" applyBorder="1" applyAlignment="1">
      <alignment horizontal="center"/>
    </xf>
    <xf numFmtId="0" fontId="125" fillId="0" borderId="3" xfId="0" applyFont="1" applyBorder="1" applyAlignment="1">
      <alignment horizontal="center" wrapText="1"/>
    </xf>
    <xf numFmtId="0" fontId="125" fillId="0" borderId="5" xfId="0" applyFont="1" applyBorder="1" applyAlignment="1">
      <alignment horizontal="center" wrapText="1"/>
    </xf>
    <xf numFmtId="0" fontId="126" fillId="0" borderId="3" xfId="0" applyFont="1" applyBorder="1" applyAlignment="1">
      <alignment horizontal="center" wrapText="1"/>
    </xf>
    <xf numFmtId="0" fontId="126" fillId="0" borderId="5" xfId="0" applyFont="1" applyBorder="1" applyAlignment="1">
      <alignment horizontal="center" wrapText="1"/>
    </xf>
    <xf numFmtId="0" fontId="5" fillId="0" borderId="135" xfId="0" applyFont="1" applyBorder="1" applyAlignment="1">
      <alignment horizontal="center"/>
    </xf>
    <xf numFmtId="0" fontId="5" fillId="0" borderId="136" xfId="0" applyFont="1" applyBorder="1" applyAlignment="1">
      <alignment horizontal="center"/>
    </xf>
    <xf numFmtId="0" fontId="5" fillId="0" borderId="3" xfId="0" applyFont="1" applyBorder="1" applyAlignment="1">
      <alignment horizontal="center"/>
    </xf>
    <xf numFmtId="0" fontId="5" fillId="0" borderId="5" xfId="0" applyFont="1" applyBorder="1" applyAlignment="1">
      <alignment horizontal="center"/>
    </xf>
    <xf numFmtId="0" fontId="125" fillId="0" borderId="3" xfId="0" applyFont="1" applyBorder="1" applyAlignment="1">
      <alignment horizontal="center"/>
    </xf>
    <xf numFmtId="0" fontId="125" fillId="0" borderId="5" xfId="0" applyFont="1" applyBorder="1" applyAlignment="1">
      <alignment horizontal="center"/>
    </xf>
    <xf numFmtId="0" fontId="39" fillId="0" borderId="3" xfId="0" applyFont="1" applyBorder="1" applyAlignment="1">
      <alignment horizontal="center"/>
    </xf>
    <xf numFmtId="0" fontId="39" fillId="0" borderId="4" xfId="0" applyFont="1" applyBorder="1" applyAlignment="1">
      <alignment horizontal="center"/>
    </xf>
    <xf numFmtId="0" fontId="39" fillId="0" borderId="180" xfId="0" applyFont="1" applyBorder="1" applyAlignment="1">
      <alignment horizontal="center"/>
    </xf>
    <xf numFmtId="0" fontId="0" fillId="0" borderId="135" xfId="0" applyBorder="1" applyAlignment="1">
      <alignment horizontal="center"/>
    </xf>
    <xf numFmtId="0" fontId="0" fillId="0" borderId="27" xfId="0" applyBorder="1" applyAlignment="1">
      <alignment horizontal="center"/>
    </xf>
    <xf numFmtId="0" fontId="0" fillId="0" borderId="182" xfId="0" applyBorder="1" applyAlignment="1">
      <alignment horizontal="center"/>
    </xf>
    <xf numFmtId="0" fontId="39" fillId="0" borderId="65" xfId="0" applyFont="1" applyBorder="1" applyAlignment="1">
      <alignment horizontal="center"/>
    </xf>
    <xf numFmtId="0" fontId="39" fillId="0" borderId="66" xfId="0" applyFont="1" applyBorder="1" applyAlignment="1">
      <alignment horizontal="center"/>
    </xf>
    <xf numFmtId="0" fontId="39" fillId="0" borderId="181" xfId="0" applyFont="1" applyBorder="1" applyAlignment="1">
      <alignment horizontal="center"/>
    </xf>
    <xf numFmtId="0" fontId="32" fillId="10" borderId="183" xfId="34" applyFill="1" applyBorder="1" applyAlignment="1">
      <alignment horizontal="center" vertical="center" wrapText="1"/>
    </xf>
    <xf numFmtId="0" fontId="32" fillId="10" borderId="75" xfId="34" applyFill="1" applyBorder="1" applyAlignment="1">
      <alignment horizontal="center" vertical="center" wrapText="1"/>
    </xf>
    <xf numFmtId="0" fontId="32" fillId="10" borderId="184" xfId="34" applyFill="1" applyBorder="1" applyAlignment="1">
      <alignment horizontal="center" vertical="center" wrapText="1"/>
    </xf>
    <xf numFmtId="0" fontId="6" fillId="10" borderId="75" xfId="0" applyFont="1" applyFill="1" applyBorder="1" applyAlignment="1">
      <alignment horizontal="center" wrapText="1"/>
    </xf>
    <xf numFmtId="0" fontId="43" fillId="10" borderId="75" xfId="34" applyFont="1" applyFill="1" applyBorder="1" applyAlignment="1">
      <alignment horizontal="center" wrapText="1"/>
    </xf>
    <xf numFmtId="0" fontId="35" fillId="10" borderId="75" xfId="0" applyFont="1" applyFill="1" applyBorder="1" applyAlignment="1">
      <alignment horizontal="center" wrapText="1"/>
    </xf>
    <xf numFmtId="0" fontId="35" fillId="10" borderId="138" xfId="0" applyFont="1" applyFill="1" applyBorder="1" applyAlignment="1">
      <alignment horizontal="center" wrapText="1"/>
    </xf>
    <xf numFmtId="0" fontId="95" fillId="27" borderId="31" xfId="27" applyFont="1" applyFill="1" applyAlignment="1"/>
    <xf numFmtId="0" fontId="95" fillId="22" borderId="191" xfId="27" applyFont="1" applyFill="1" applyBorder="1" applyAlignment="1">
      <alignment horizontal="center"/>
    </xf>
    <xf numFmtId="0" fontId="95" fillId="27" borderId="31" xfId="27" applyFont="1" applyFill="1" applyAlignment="1">
      <alignment horizontal="left" vertical="center"/>
    </xf>
    <xf numFmtId="0" fontId="95" fillId="22" borderId="31" xfId="27" applyFont="1" applyFill="1" applyAlignment="1">
      <alignment horizontal="left" vertical="center"/>
    </xf>
    <xf numFmtId="0" fontId="16" fillId="29" borderId="76" xfId="36" applyFont="1" applyFill="1" applyBorder="1" applyAlignment="1">
      <alignment horizontal="left" wrapText="1"/>
    </xf>
    <xf numFmtId="0" fontId="18" fillId="0" borderId="76" xfId="0" applyFont="1" applyBorder="1" applyAlignment="1">
      <alignment horizontal="center" wrapText="1"/>
    </xf>
    <xf numFmtId="0" fontId="33" fillId="21" borderId="30" xfId="37" applyFont="1" applyFill="1" applyBorder="1" applyAlignment="1">
      <alignment horizontal="center" wrapText="1"/>
    </xf>
    <xf numFmtId="0" fontId="17" fillId="38" borderId="75" xfId="0" applyFont="1" applyFill="1" applyBorder="1" applyAlignment="1">
      <alignment horizontal="center" wrapText="1"/>
    </xf>
    <xf numFmtId="0" fontId="71" fillId="38" borderId="75" xfId="37" applyFont="1" applyFill="1" applyBorder="1" applyAlignment="1">
      <alignment horizontal="center" wrapText="1"/>
    </xf>
    <xf numFmtId="9" fontId="31" fillId="38" borderId="78" xfId="33" applyNumberFormat="1" applyFill="1" applyBorder="1" applyAlignment="1">
      <alignment horizontal="center" wrapText="1"/>
    </xf>
    <xf numFmtId="9" fontId="27" fillId="40" borderId="30" xfId="29" applyNumberFormat="1" applyFill="1" applyBorder="1" applyAlignment="1">
      <alignment horizontal="center" wrapText="1"/>
    </xf>
    <xf numFmtId="0" fontId="71" fillId="21" borderId="117" xfId="37" applyFont="1" applyFill="1" applyBorder="1" applyAlignment="1">
      <alignment horizontal="center" wrapText="1"/>
    </xf>
    <xf numFmtId="0" fontId="71" fillId="21" borderId="75" xfId="37" applyFont="1" applyFill="1" applyBorder="1" applyAlignment="1">
      <alignment horizontal="center" wrapText="1"/>
    </xf>
    <xf numFmtId="9" fontId="31" fillId="21" borderId="117" xfId="33" applyNumberFormat="1" applyFill="1" applyBorder="1" applyAlignment="1">
      <alignment horizontal="center" wrapText="1"/>
    </xf>
    <xf numFmtId="9" fontId="31" fillId="21" borderId="75" xfId="33" applyNumberFormat="1" applyFill="1" applyBorder="1" applyAlignment="1">
      <alignment horizontal="center" wrapText="1"/>
    </xf>
    <xf numFmtId="0" fontId="99" fillId="39" borderId="32" xfId="28" applyFont="1" applyFill="1" applyAlignment="1">
      <alignment horizontal="left" wrapText="1"/>
    </xf>
    <xf numFmtId="0" fontId="99" fillId="39" borderId="0" xfId="17" applyFont="1" applyFill="1" applyBorder="1" applyAlignment="1">
      <alignment horizontal="left" wrapText="1"/>
    </xf>
    <xf numFmtId="0" fontId="99" fillId="39" borderId="9" xfId="17" applyFont="1" applyFill="1" applyBorder="1" applyAlignment="1">
      <alignment horizontal="left" wrapText="1"/>
    </xf>
    <xf numFmtId="44" fontId="99" fillId="38" borderId="0" xfId="35" applyNumberFormat="1" applyFont="1" applyFill="1" applyAlignment="1">
      <alignment horizontal="left"/>
    </xf>
    <xf numFmtId="0" fontId="99" fillId="38" borderId="0" xfId="20" applyFont="1" applyFill="1" applyAlignment="1">
      <alignment horizontal="left"/>
    </xf>
    <xf numFmtId="0" fontId="99" fillId="38" borderId="9" xfId="20" applyFont="1" applyFill="1" applyBorder="1" applyAlignment="1">
      <alignment horizontal="left"/>
    </xf>
    <xf numFmtId="0" fontId="32" fillId="0" borderId="22" xfId="34" applyFill="1" applyBorder="1" applyAlignment="1">
      <alignment horizontal="center"/>
    </xf>
    <xf numFmtId="0" fontId="32" fillId="0" borderId="177" xfId="34" applyFill="1" applyBorder="1" applyAlignment="1">
      <alignment horizontal="center"/>
    </xf>
    <xf numFmtId="0" fontId="19" fillId="0" borderId="30" xfId="18" applyFont="1" applyFill="1" applyBorder="1" applyAlignment="1">
      <alignment horizontal="center"/>
    </xf>
    <xf numFmtId="0" fontId="19" fillId="0" borderId="178" xfId="18" applyFont="1" applyFill="1" applyBorder="1" applyAlignment="1">
      <alignment horizontal="center"/>
    </xf>
    <xf numFmtId="0" fontId="19" fillId="0" borderId="30" xfId="19" applyFont="1" applyFill="1" applyBorder="1" applyAlignment="1">
      <alignment horizontal="center"/>
    </xf>
    <xf numFmtId="0" fontId="19" fillId="0" borderId="178" xfId="19" applyFont="1" applyFill="1" applyBorder="1" applyAlignment="1">
      <alignment horizontal="center"/>
    </xf>
    <xf numFmtId="0" fontId="32" fillId="0" borderId="22" xfId="34" applyBorder="1" applyAlignment="1">
      <alignment horizontal="center"/>
    </xf>
    <xf numFmtId="0" fontId="26" fillId="38" borderId="32" xfId="28" applyFill="1" applyAlignment="1">
      <alignment horizontal="left"/>
    </xf>
    <xf numFmtId="0" fontId="26" fillId="38" borderId="0" xfId="20" applyFont="1" applyFill="1" applyAlignment="1">
      <alignment horizontal="left"/>
    </xf>
    <xf numFmtId="0" fontId="26" fillId="38" borderId="9" xfId="20" applyFont="1" applyFill="1" applyBorder="1" applyAlignment="1">
      <alignment horizontal="left"/>
    </xf>
    <xf numFmtId="0" fontId="97" fillId="27" borderId="6" xfId="26" applyFont="1" applyFill="1" applyAlignment="1">
      <alignment horizontal="left"/>
    </xf>
    <xf numFmtId="0" fontId="97" fillId="27" borderId="0" xfId="26" applyFont="1" applyFill="1" applyBorder="1" applyAlignment="1">
      <alignment horizontal="left"/>
    </xf>
    <xf numFmtId="0" fontId="97" fillId="22" borderId="6" xfId="26" applyFont="1" applyFill="1" applyAlignment="1">
      <alignment horizontal="left"/>
    </xf>
    <xf numFmtId="0" fontId="19" fillId="0" borderId="40" xfId="18" applyFont="1" applyFill="1" applyBorder="1" applyAlignment="1">
      <alignment horizontal="center"/>
    </xf>
    <xf numFmtId="0" fontId="19" fillId="0" borderId="176" xfId="18" applyFont="1" applyFill="1" applyBorder="1" applyAlignment="1">
      <alignment horizontal="center"/>
    </xf>
    <xf numFmtId="0" fontId="18" fillId="0" borderId="3" xfId="0" applyFont="1" applyBorder="1" applyAlignment="1">
      <alignment horizontal="center" wrapText="1"/>
    </xf>
    <xf numFmtId="0" fontId="18" fillId="0" borderId="5" xfId="0" applyFont="1" applyBorder="1" applyAlignment="1">
      <alignment horizontal="center" wrapText="1"/>
    </xf>
    <xf numFmtId="0" fontId="42" fillId="0" borderId="2" xfId="0" applyFont="1" applyBorder="1" applyAlignment="1">
      <alignment horizontal="left" wrapText="1"/>
    </xf>
    <xf numFmtId="0" fontId="42" fillId="0" borderId="3" xfId="0" applyFont="1" applyBorder="1" applyAlignment="1">
      <alignment horizontal="center" wrapText="1"/>
    </xf>
    <xf numFmtId="0" fontId="42" fillId="0" borderId="4" xfId="0" applyFont="1" applyBorder="1" applyAlignment="1">
      <alignment horizontal="center" wrapText="1"/>
    </xf>
    <xf numFmtId="0" fontId="42" fillId="0" borderId="5" xfId="0" applyFont="1" applyBorder="1" applyAlignment="1">
      <alignment horizontal="center" wrapText="1"/>
    </xf>
    <xf numFmtId="0" fontId="121" fillId="0" borderId="2" xfId="0" applyFont="1" applyBorder="1" applyAlignment="1">
      <alignment horizontal="left"/>
    </xf>
    <xf numFmtId="0" fontId="121" fillId="0" borderId="3" xfId="0" applyFont="1" applyBorder="1" applyAlignment="1">
      <alignment horizontal="left" wrapText="1"/>
    </xf>
    <xf numFmtId="0" fontId="121" fillId="0" borderId="5" xfId="0" applyFont="1" applyBorder="1" applyAlignment="1">
      <alignment horizontal="left" wrapText="1"/>
    </xf>
    <xf numFmtId="0" fontId="0" fillId="0" borderId="0" xfId="0"/>
    <xf numFmtId="0" fontId="18" fillId="0" borderId="135" xfId="0" applyFont="1" applyBorder="1" applyAlignment="1">
      <alignment horizontal="center"/>
    </xf>
    <xf numFmtId="0" fontId="18" fillId="0" borderId="27" xfId="0" applyFont="1" applyBorder="1" applyAlignment="1">
      <alignment horizontal="center"/>
    </xf>
    <xf numFmtId="0" fontId="18" fillId="0" borderId="136" xfId="0" applyFont="1" applyBorder="1" applyAlignment="1">
      <alignment horizontal="center"/>
    </xf>
    <xf numFmtId="0" fontId="48" fillId="0" borderId="0" xfId="0" applyFont="1" applyAlignment="1">
      <alignment horizontal="left"/>
    </xf>
    <xf numFmtId="0" fontId="48" fillId="0" borderId="46" xfId="0" applyFont="1" applyBorder="1" applyAlignment="1">
      <alignment horizontal="center"/>
    </xf>
    <xf numFmtId="0" fontId="48" fillId="0" borderId="42" xfId="0" applyFont="1" applyBorder="1" applyAlignment="1">
      <alignment horizontal="center"/>
    </xf>
    <xf numFmtId="0" fontId="18" fillId="0" borderId="2" xfId="0" applyFont="1" applyBorder="1" applyAlignment="1">
      <alignment horizontal="left" vertical="center"/>
    </xf>
    <xf numFmtId="0" fontId="18" fillId="0" borderId="25" xfId="0" applyFont="1" applyBorder="1" applyAlignment="1">
      <alignment horizontal="left" vertical="center"/>
    </xf>
    <xf numFmtId="167" fontId="28" fillId="16" borderId="52" xfId="30" applyNumberFormat="1" applyBorder="1" applyAlignment="1">
      <alignment horizontal="center" vertical="center"/>
    </xf>
    <xf numFmtId="167" fontId="28" fillId="16" borderId="70" xfId="30" applyNumberFormat="1" applyBorder="1" applyAlignment="1">
      <alignment horizontal="center" vertical="center"/>
    </xf>
    <xf numFmtId="167" fontId="51" fillId="20" borderId="0" xfId="21" applyNumberFormat="1" applyFont="1" applyFill="1" applyBorder="1" applyAlignment="1">
      <alignment horizontal="center" vertical="center"/>
    </xf>
    <xf numFmtId="44" fontId="18" fillId="29" borderId="55" xfId="21" applyFont="1" applyFill="1" applyBorder="1" applyAlignment="1">
      <alignment horizontal="center" vertical="center"/>
    </xf>
    <xf numFmtId="44" fontId="18" fillId="29" borderId="53" xfId="21" applyFont="1" applyFill="1" applyBorder="1" applyAlignment="1">
      <alignment horizontal="center" vertical="center"/>
    </xf>
    <xf numFmtId="44" fontId="18" fillId="29" borderId="72" xfId="21" applyFont="1" applyFill="1" applyBorder="1" applyAlignment="1">
      <alignment horizontal="center" vertical="center"/>
    </xf>
    <xf numFmtId="0" fontId="18" fillId="0" borderId="65" xfId="0" applyFont="1" applyBorder="1" applyAlignment="1">
      <alignment horizontal="center"/>
    </xf>
    <xf numFmtId="0" fontId="18" fillId="0" borderId="66" xfId="0" applyFont="1" applyBorder="1" applyAlignment="1">
      <alignment horizontal="center"/>
    </xf>
    <xf numFmtId="0" fontId="18" fillId="0" borderId="67" xfId="0" applyFont="1" applyBorder="1" applyAlignment="1">
      <alignment horizontal="center"/>
    </xf>
    <xf numFmtId="0" fontId="126" fillId="0" borderId="3" xfId="0" applyFont="1" applyBorder="1" applyAlignment="1">
      <alignment horizontal="center"/>
    </xf>
    <xf numFmtId="0" fontId="126" fillId="0" borderId="4" xfId="0" applyFont="1" applyBorder="1" applyAlignment="1">
      <alignment horizontal="center"/>
    </xf>
    <xf numFmtId="0" fontId="126" fillId="0" borderId="5" xfId="0" applyFont="1" applyBorder="1" applyAlignment="1">
      <alignment horizontal="center"/>
    </xf>
    <xf numFmtId="0" fontId="26" fillId="38" borderId="156" xfId="28" applyFill="1" applyBorder="1" applyAlignment="1">
      <alignment horizontal="left"/>
    </xf>
    <xf numFmtId="0" fontId="126" fillId="0" borderId="16" xfId="0" applyFont="1" applyBorder="1" applyAlignment="1">
      <alignment horizontal="center"/>
    </xf>
    <xf numFmtId="0" fontId="126" fillId="0" borderId="11" xfId="0" applyFont="1" applyBorder="1" applyAlignment="1">
      <alignment horizontal="center"/>
    </xf>
    <xf numFmtId="0" fontId="126" fillId="0" borderId="166" xfId="0" applyFont="1" applyBorder="1" applyAlignment="1">
      <alignment horizontal="center"/>
    </xf>
    <xf numFmtId="0" fontId="95" fillId="27" borderId="0" xfId="27" applyFont="1" applyFill="1" applyBorder="1" applyAlignment="1">
      <alignment horizontal="left" vertical="center"/>
    </xf>
    <xf numFmtId="0" fontId="45" fillId="0" borderId="0" xfId="0" applyFont="1" applyAlignment="1">
      <alignment horizontal="left" wrapText="1"/>
    </xf>
    <xf numFmtId="0" fontId="46" fillId="0" borderId="0" xfId="0" applyFont="1" applyAlignment="1">
      <alignment horizontal="left" wrapText="1"/>
    </xf>
    <xf numFmtId="0" fontId="126" fillId="0" borderId="18" xfId="0" applyFont="1" applyBorder="1" applyAlignment="1">
      <alignment horizontal="center"/>
    </xf>
    <xf numFmtId="0" fontId="126" fillId="0" borderId="0" xfId="0" applyFont="1" applyAlignment="1">
      <alignment horizontal="center"/>
    </xf>
    <xf numFmtId="0" fontId="126" fillId="0" borderId="165" xfId="0" applyFont="1" applyBorder="1" applyAlignment="1">
      <alignment horizontal="center"/>
    </xf>
    <xf numFmtId="0" fontId="45" fillId="0" borderId="46" xfId="0" applyFont="1" applyBorder="1" applyAlignment="1">
      <alignment horizontal="left" wrapText="1"/>
    </xf>
    <xf numFmtId="0" fontId="18" fillId="0" borderId="62" xfId="0" applyFont="1" applyBorder="1" applyAlignment="1">
      <alignment horizontal="center" wrapText="1"/>
    </xf>
    <xf numFmtId="0" fontId="18" fillId="0" borderId="2" xfId="0" applyFont="1" applyBorder="1" applyAlignment="1">
      <alignment horizontal="center" wrapText="1"/>
    </xf>
    <xf numFmtId="0" fontId="39" fillId="0" borderId="0" xfId="2" applyFont="1" applyAlignment="1">
      <alignment horizontal="center" wrapText="1"/>
    </xf>
    <xf numFmtId="167" fontId="28" fillId="16" borderId="59" xfId="30" applyNumberFormat="1" applyBorder="1" applyAlignment="1">
      <alignment horizontal="center" vertical="center"/>
    </xf>
    <xf numFmtId="41" fontId="28" fillId="29" borderId="64" xfId="30" applyNumberFormat="1" applyFill="1" applyBorder="1" applyAlignment="1">
      <alignment horizontal="center" vertical="center"/>
    </xf>
    <xf numFmtId="41" fontId="28" fillId="29" borderId="53" xfId="30" applyNumberFormat="1" applyFill="1" applyBorder="1" applyAlignment="1">
      <alignment horizontal="center" vertical="center"/>
    </xf>
    <xf numFmtId="41" fontId="28" fillId="29" borderId="59" xfId="30" applyNumberFormat="1" applyFill="1" applyBorder="1" applyAlignment="1">
      <alignment horizontal="center" vertical="center"/>
    </xf>
    <xf numFmtId="0" fontId="18" fillId="0" borderId="135" xfId="0" applyFont="1" applyBorder="1" applyAlignment="1">
      <alignment horizontal="center" wrapText="1"/>
    </xf>
    <xf numFmtId="0" fontId="18" fillId="0" borderId="27" xfId="0" applyFont="1" applyBorder="1" applyAlignment="1">
      <alignment horizontal="center" wrapText="1"/>
    </xf>
    <xf numFmtId="0" fontId="18" fillId="0" borderId="136" xfId="0" applyFont="1" applyBorder="1" applyAlignment="1">
      <alignment horizontal="center" wrapText="1"/>
    </xf>
    <xf numFmtId="0" fontId="18" fillId="0" borderId="4" xfId="0" applyFont="1" applyBorder="1" applyAlignment="1">
      <alignment horizontal="center" wrapText="1"/>
    </xf>
    <xf numFmtId="0" fontId="18" fillId="0" borderId="16" xfId="0" applyFont="1" applyBorder="1" applyAlignment="1">
      <alignment horizontal="center" wrapText="1"/>
    </xf>
    <xf numFmtId="0" fontId="18" fillId="0" borderId="11" xfId="0" applyFont="1" applyBorder="1" applyAlignment="1">
      <alignment horizontal="center" wrapText="1"/>
    </xf>
    <xf numFmtId="0" fontId="18" fillId="0" borderId="108" xfId="0" applyFont="1" applyBorder="1" applyAlignment="1">
      <alignment horizontal="center" wrapText="1"/>
    </xf>
    <xf numFmtId="0" fontId="39" fillId="0" borderId="3" xfId="2" applyFont="1" applyBorder="1" applyAlignment="1">
      <alignment horizontal="center" wrapText="1"/>
    </xf>
    <xf numFmtId="0" fontId="39" fillId="0" borderId="4" xfId="2" applyFont="1" applyBorder="1" applyAlignment="1">
      <alignment horizontal="center" wrapText="1"/>
    </xf>
    <xf numFmtId="0" fontId="39" fillId="0" borderId="180" xfId="2" applyFont="1" applyBorder="1" applyAlignment="1">
      <alignment horizontal="center" wrapText="1"/>
    </xf>
    <xf numFmtId="0" fontId="39" fillId="0" borderId="135" xfId="2" applyFont="1" applyBorder="1" applyAlignment="1">
      <alignment horizontal="center" wrapText="1"/>
    </xf>
    <xf numFmtId="0" fontId="39" fillId="0" borderId="27" xfId="2" applyFont="1" applyBorder="1" applyAlignment="1">
      <alignment horizontal="center" wrapText="1"/>
    </xf>
    <xf numFmtId="0" fontId="39" fillId="0" borderId="182" xfId="2" applyFont="1" applyBorder="1" applyAlignment="1">
      <alignment horizontal="center" wrapText="1"/>
    </xf>
    <xf numFmtId="0" fontId="48" fillId="0" borderId="51" xfId="0" applyFont="1" applyBorder="1" applyAlignment="1">
      <alignment horizontal="center"/>
    </xf>
    <xf numFmtId="0" fontId="48" fillId="0" borderId="41" xfId="0" applyFont="1" applyBorder="1" applyAlignment="1">
      <alignment horizontal="center"/>
    </xf>
    <xf numFmtId="0" fontId="48" fillId="0" borderId="0" xfId="0" applyFont="1" applyAlignment="1">
      <alignment horizontal="center"/>
    </xf>
    <xf numFmtId="0" fontId="17" fillId="0" borderId="137" xfId="0" applyFont="1" applyBorder="1" applyAlignment="1">
      <alignment horizontal="center"/>
    </xf>
    <xf numFmtId="0" fontId="17" fillId="0" borderId="46" xfId="0" applyFont="1" applyBorder="1" applyAlignment="1">
      <alignment horizontal="center"/>
    </xf>
    <xf numFmtId="0" fontId="17" fillId="0" borderId="125" xfId="0" applyFont="1" applyBorder="1" applyAlignment="1">
      <alignment horizontal="center"/>
    </xf>
    <xf numFmtId="0" fontId="18" fillId="0" borderId="51" xfId="0" applyFont="1" applyBorder="1" applyAlignment="1">
      <alignment horizontal="center" wrapText="1"/>
    </xf>
    <xf numFmtId="41" fontId="28" fillId="29" borderId="55" xfId="30" applyNumberFormat="1" applyFill="1" applyBorder="1" applyAlignment="1">
      <alignment horizontal="center" vertical="center"/>
    </xf>
    <xf numFmtId="0" fontId="18" fillId="0" borderId="65" xfId="0" applyFont="1" applyBorder="1" applyAlignment="1">
      <alignment horizontal="center" wrapText="1"/>
    </xf>
    <xf numFmtId="0" fontId="18" fillId="0" borderId="66" xfId="0" applyFont="1" applyBorder="1" applyAlignment="1">
      <alignment horizontal="center" wrapText="1"/>
    </xf>
    <xf numFmtId="0" fontId="18" fillId="0" borderId="67" xfId="0" applyFont="1" applyBorder="1" applyAlignment="1">
      <alignment horizontal="center" wrapText="1"/>
    </xf>
    <xf numFmtId="0" fontId="39" fillId="0" borderId="65" xfId="2" applyFont="1" applyBorder="1" applyAlignment="1">
      <alignment horizontal="center" wrapText="1"/>
    </xf>
    <xf numFmtId="0" fontId="39" fillId="0" borderId="66" xfId="2" applyFont="1" applyBorder="1" applyAlignment="1">
      <alignment horizontal="center" wrapText="1"/>
    </xf>
    <xf numFmtId="0" fontId="39" fillId="0" borderId="181" xfId="2" applyFont="1" applyBorder="1" applyAlignment="1">
      <alignment horizontal="center" wrapText="1"/>
    </xf>
    <xf numFmtId="0" fontId="48" fillId="0" borderId="7" xfId="0" applyFont="1" applyBorder="1" applyAlignment="1">
      <alignment horizontal="center"/>
    </xf>
    <xf numFmtId="0" fontId="91" fillId="0" borderId="42" xfId="33" applyFont="1" applyBorder="1" applyAlignment="1">
      <alignment horizontal="center" vertical="center" wrapText="1"/>
    </xf>
    <xf numFmtId="0" fontId="91" fillId="0" borderId="0" xfId="33" applyFont="1" applyBorder="1" applyAlignment="1">
      <alignment horizontal="center" vertical="center" wrapText="1"/>
    </xf>
    <xf numFmtId="0" fontId="11" fillId="0" borderId="3" xfId="0" applyFont="1" applyBorder="1" applyAlignment="1">
      <alignment horizontal="center"/>
    </xf>
    <xf numFmtId="0" fontId="11" fillId="0" borderId="4" xfId="0" applyFont="1" applyBorder="1" applyAlignment="1">
      <alignment horizontal="center"/>
    </xf>
    <xf numFmtId="0" fontId="11" fillId="0" borderId="5" xfId="0" applyFont="1" applyBorder="1" applyAlignment="1">
      <alignment horizontal="center"/>
    </xf>
    <xf numFmtId="0" fontId="18" fillId="0" borderId="2" xfId="0" applyFont="1" applyBorder="1" applyAlignment="1">
      <alignment horizontal="center"/>
    </xf>
    <xf numFmtId="41" fontId="29" fillId="16" borderId="33" xfId="31" applyNumberFormat="1" applyAlignment="1">
      <alignment horizontal="center"/>
    </xf>
    <xf numFmtId="41" fontId="29" fillId="16" borderId="69" xfId="31" applyNumberFormat="1" applyBorder="1" applyAlignment="1">
      <alignment horizontal="center"/>
    </xf>
    <xf numFmtId="41" fontId="28" fillId="16" borderId="63" xfId="30" applyNumberFormat="1" applyBorder="1" applyAlignment="1">
      <alignment horizontal="center"/>
    </xf>
    <xf numFmtId="41" fontId="28" fillId="16" borderId="70" xfId="30" applyNumberFormat="1" applyBorder="1" applyAlignment="1">
      <alignment horizontal="center"/>
    </xf>
    <xf numFmtId="167" fontId="51" fillId="20" borderId="0" xfId="21" applyNumberFormat="1" applyFont="1" applyFill="1" applyBorder="1" applyAlignment="1">
      <alignment horizontal="center"/>
    </xf>
    <xf numFmtId="41" fontId="29" fillId="29" borderId="111" xfId="31" applyNumberFormat="1" applyFill="1" applyBorder="1" applyAlignment="1">
      <alignment horizontal="center"/>
    </xf>
    <xf numFmtId="41" fontId="29" fillId="29" borderId="110" xfId="31" applyNumberFormat="1" applyFill="1" applyBorder="1" applyAlignment="1">
      <alignment horizontal="center"/>
    </xf>
    <xf numFmtId="1" fontId="26" fillId="39" borderId="0" xfId="39" applyNumberFormat="1" applyFill="1" applyAlignment="1">
      <alignment horizontal="center"/>
    </xf>
    <xf numFmtId="0" fontId="33" fillId="39" borderId="0" xfId="17" applyFont="1" applyFill="1" applyAlignment="1">
      <alignment horizontal="center"/>
    </xf>
    <xf numFmtId="0" fontId="33" fillId="39" borderId="9" xfId="17" applyFont="1" applyFill="1" applyBorder="1" applyAlignment="1">
      <alignment horizontal="center"/>
    </xf>
    <xf numFmtId="41" fontId="28" fillId="29" borderId="63" xfId="30" applyNumberFormat="1" applyFill="1" applyBorder="1" applyAlignment="1">
      <alignment horizontal="center"/>
    </xf>
    <xf numFmtId="41" fontId="28" fillId="29" borderId="70" xfId="30" applyNumberFormat="1" applyFill="1" applyBorder="1" applyAlignment="1">
      <alignment horizontal="center"/>
    </xf>
    <xf numFmtId="0" fontId="97" fillId="27" borderId="6" xfId="26" applyFont="1" applyFill="1" applyAlignment="1">
      <alignment horizontal="left" wrapText="1"/>
    </xf>
    <xf numFmtId="0" fontId="18" fillId="0" borderId="83" xfId="0" applyFont="1" applyBorder="1" applyAlignment="1">
      <alignment horizontal="center"/>
    </xf>
    <xf numFmtId="0" fontId="18" fillId="0" borderId="0" xfId="0" applyFont="1" applyAlignment="1">
      <alignment horizontal="center"/>
    </xf>
    <xf numFmtId="41" fontId="28" fillId="16" borderId="52" xfId="30" applyNumberFormat="1" applyBorder="1" applyAlignment="1">
      <alignment horizontal="center"/>
    </xf>
    <xf numFmtId="41" fontId="28" fillId="29" borderId="52" xfId="30" applyNumberFormat="1" applyFill="1" applyBorder="1" applyAlignment="1">
      <alignment horizontal="center"/>
    </xf>
    <xf numFmtId="0" fontId="91" fillId="0" borderId="40" xfId="33" applyFont="1" applyBorder="1" applyAlignment="1">
      <alignment horizontal="center" vertical="center" wrapText="1"/>
    </xf>
    <xf numFmtId="0" fontId="90" fillId="0" borderId="0" xfId="0" applyFont="1" applyAlignment="1">
      <alignment horizontal="right" vertical="center"/>
    </xf>
    <xf numFmtId="0" fontId="32" fillId="0" borderId="22" xfId="34" applyBorder="1" applyAlignment="1">
      <alignment horizontal="center" vertical="center" wrapText="1"/>
    </xf>
    <xf numFmtId="0" fontId="30" fillId="0" borderId="35" xfId="32" applyAlignment="1">
      <alignment horizontal="left"/>
    </xf>
    <xf numFmtId="0" fontId="30" fillId="12" borderId="35" xfId="32" applyFill="1" applyAlignment="1">
      <alignment horizontal="left" vertical="top" wrapText="1"/>
    </xf>
    <xf numFmtId="0" fontId="33" fillId="38" borderId="0" xfId="20" applyFont="1" applyFill="1" applyAlignment="1">
      <alignment horizontal="left"/>
    </xf>
    <xf numFmtId="0" fontId="33" fillId="38" borderId="9" xfId="20" applyFont="1" applyFill="1" applyBorder="1" applyAlignment="1">
      <alignment horizontal="left"/>
    </xf>
    <xf numFmtId="0" fontId="72" fillId="0" borderId="42" xfId="33" applyFont="1" applyBorder="1" applyAlignment="1">
      <alignment horizontal="center" vertical="center" wrapText="1"/>
    </xf>
    <xf numFmtId="0" fontId="72" fillId="0" borderId="0" xfId="33" applyFont="1" applyAlignment="1">
      <alignment horizontal="center" vertical="center" wrapText="1"/>
    </xf>
    <xf numFmtId="0" fontId="72" fillId="0" borderId="0" xfId="33" applyFont="1" applyBorder="1" applyAlignment="1">
      <alignment horizontal="center" vertical="center" wrapText="1"/>
    </xf>
    <xf numFmtId="0" fontId="48" fillId="0" borderId="3" xfId="0" applyFont="1" applyBorder="1" applyAlignment="1">
      <alignment horizontal="center"/>
    </xf>
    <xf numFmtId="0" fontId="48" fillId="0" borderId="5" xfId="0" applyFont="1" applyBorder="1" applyAlignment="1">
      <alignment horizontal="center"/>
    </xf>
    <xf numFmtId="0" fontId="72" fillId="8" borderId="41" xfId="33" applyFont="1" applyFill="1" applyBorder="1" applyAlignment="1">
      <alignment horizontal="center" vertical="center" wrapText="1"/>
    </xf>
    <xf numFmtId="0" fontId="72" fillId="8" borderId="42" xfId="33" applyFont="1" applyFill="1" applyBorder="1" applyAlignment="1">
      <alignment horizontal="center" vertical="center" wrapText="1"/>
    </xf>
    <xf numFmtId="0" fontId="72" fillId="8" borderId="18" xfId="33" applyFont="1" applyFill="1" applyBorder="1" applyAlignment="1">
      <alignment horizontal="center" vertical="center" wrapText="1"/>
    </xf>
    <xf numFmtId="0" fontId="72" fillId="8" borderId="0" xfId="33" applyFont="1" applyFill="1" applyBorder="1" applyAlignment="1">
      <alignment horizontal="center" vertical="center" wrapText="1"/>
    </xf>
    <xf numFmtId="0" fontId="26" fillId="39" borderId="0" xfId="17" applyFont="1" applyFill="1" applyAlignment="1">
      <alignment horizontal="center"/>
    </xf>
    <xf numFmtId="0" fontId="26" fillId="39" borderId="9" xfId="17" applyFont="1" applyFill="1" applyBorder="1" applyAlignment="1">
      <alignment horizontal="center"/>
    </xf>
    <xf numFmtId="0" fontId="5" fillId="0" borderId="3" xfId="0" applyFont="1" applyBorder="1" applyAlignment="1">
      <alignment vertical="top"/>
    </xf>
    <xf numFmtId="0" fontId="5" fillId="0" borderId="5" xfId="0" applyFont="1" applyBorder="1" applyAlignment="1">
      <alignment vertical="top"/>
    </xf>
    <xf numFmtId="0" fontId="26" fillId="21" borderId="0" xfId="39" applyFill="1" applyAlignment="1">
      <alignment horizontal="left"/>
    </xf>
    <xf numFmtId="0" fontId="26" fillId="38" borderId="0" xfId="17" applyFont="1" applyFill="1" applyBorder="1" applyAlignment="1">
      <alignment horizontal="left"/>
    </xf>
    <xf numFmtId="0" fontId="26" fillId="38" borderId="9" xfId="17" applyFont="1" applyFill="1" applyBorder="1" applyAlignment="1">
      <alignment horizontal="left"/>
    </xf>
    <xf numFmtId="0" fontId="96" fillId="27" borderId="31" xfId="34" applyFont="1" applyFill="1" applyBorder="1" applyAlignment="1">
      <alignment horizontal="center" vertical="center"/>
    </xf>
    <xf numFmtId="0" fontId="5" fillId="0" borderId="2" xfId="0" applyFont="1" applyBorder="1" applyAlignment="1">
      <alignment vertical="top"/>
    </xf>
    <xf numFmtId="0" fontId="91" fillId="0" borderId="42" xfId="33" applyFont="1" applyFill="1" applyBorder="1" applyAlignment="1">
      <alignment horizontal="center" vertical="center" wrapText="1"/>
    </xf>
    <xf numFmtId="0" fontId="91" fillId="0" borderId="0" xfId="33" applyFont="1" applyFill="1" applyBorder="1" applyAlignment="1">
      <alignment horizontal="center" vertical="center" wrapText="1"/>
    </xf>
    <xf numFmtId="0" fontId="31" fillId="0" borderId="42" xfId="33" applyBorder="1" applyAlignment="1">
      <alignment horizontal="center" vertical="center" wrapText="1"/>
    </xf>
    <xf numFmtId="0" fontId="31" fillId="0" borderId="0" xfId="33" applyBorder="1" applyAlignment="1">
      <alignment horizontal="center" vertical="center" wrapText="1"/>
    </xf>
    <xf numFmtId="0" fontId="26" fillId="39" borderId="0" xfId="39" applyFill="1" applyAlignment="1">
      <alignment horizontal="center"/>
    </xf>
    <xf numFmtId="0" fontId="26" fillId="39" borderId="0" xfId="17" applyFont="1" applyFill="1" applyAlignment="1">
      <alignment horizontal="left"/>
    </xf>
    <xf numFmtId="0" fontId="26" fillId="39" borderId="9" xfId="17" applyFont="1" applyFill="1" applyBorder="1" applyAlignment="1">
      <alignment horizontal="left"/>
    </xf>
    <xf numFmtId="0" fontId="97" fillId="27" borderId="0" xfId="26" applyFont="1" applyFill="1" applyBorder="1" applyAlignment="1">
      <alignment horizontal="left" wrapText="1"/>
    </xf>
    <xf numFmtId="0" fontId="120" fillId="0" borderId="0" xfId="33" applyFont="1" applyFill="1" applyBorder="1" applyAlignment="1">
      <alignment horizontal="center" vertical="center" wrapText="1"/>
    </xf>
    <xf numFmtId="0" fontId="96" fillId="22" borderId="31" xfId="34" applyFont="1" applyFill="1" applyBorder="1" applyAlignment="1">
      <alignment horizontal="center" vertical="center"/>
    </xf>
    <xf numFmtId="0" fontId="26" fillId="39" borderId="0" xfId="39" applyFill="1" applyBorder="1" applyAlignment="1">
      <alignment horizontal="center"/>
    </xf>
    <xf numFmtId="0" fontId="119" fillId="0" borderId="0" xfId="0" applyFont="1" applyAlignment="1">
      <alignment horizontal="center"/>
    </xf>
    <xf numFmtId="0" fontId="5" fillId="0" borderId="2" xfId="0" applyFont="1" applyBorder="1" applyAlignment="1">
      <alignment vertical="top" wrapText="1"/>
    </xf>
    <xf numFmtId="0" fontId="87" fillId="0" borderId="0" xfId="0" applyFont="1" applyAlignment="1">
      <alignment horizontal="left"/>
    </xf>
    <xf numFmtId="0" fontId="88" fillId="32" borderId="7" xfId="29" applyFont="1" applyFill="1" applyBorder="1" applyAlignment="1">
      <alignment horizontal="center"/>
    </xf>
    <xf numFmtId="0" fontId="88" fillId="32" borderId="4" xfId="29" applyFont="1" applyFill="1" applyBorder="1" applyAlignment="1">
      <alignment horizontal="center"/>
    </xf>
    <xf numFmtId="0" fontId="74" fillId="0" borderId="14" xfId="0" applyFont="1" applyBorder="1" applyAlignment="1">
      <alignment horizontal="right" vertical="center" wrapText="1"/>
    </xf>
    <xf numFmtId="0" fontId="74" fillId="0" borderId="86" xfId="0" applyFont="1" applyBorder="1" applyAlignment="1">
      <alignment horizontal="right" vertical="center" wrapText="1"/>
    </xf>
    <xf numFmtId="0" fontId="74" fillId="0" borderId="12" xfId="0" applyFont="1" applyBorder="1" applyAlignment="1">
      <alignment horizontal="right" vertical="center" wrapText="1"/>
    </xf>
    <xf numFmtId="0" fontId="74" fillId="0" borderId="85" xfId="0" applyFont="1" applyBorder="1" applyAlignment="1">
      <alignment horizontal="right" vertical="center" wrapText="1"/>
    </xf>
    <xf numFmtId="166" fontId="75" fillId="16" borderId="93" xfId="30" applyNumberFormat="1" applyFont="1" applyBorder="1" applyAlignment="1" applyProtection="1">
      <alignment horizontal="center" vertical="center"/>
    </xf>
    <xf numFmtId="166" fontId="75" fillId="16" borderId="14" xfId="30" applyNumberFormat="1" applyFont="1" applyBorder="1" applyAlignment="1" applyProtection="1">
      <alignment horizontal="center" vertical="center"/>
    </xf>
    <xf numFmtId="166" fontId="75" fillId="16" borderId="86" xfId="30" applyNumberFormat="1" applyFont="1" applyBorder="1" applyAlignment="1" applyProtection="1">
      <alignment horizontal="center" vertical="center"/>
    </xf>
    <xf numFmtId="166" fontId="75" fillId="16" borderId="90" xfId="30" applyNumberFormat="1" applyFont="1" applyBorder="1" applyAlignment="1" applyProtection="1">
      <alignment horizontal="center" vertical="center"/>
    </xf>
    <xf numFmtId="166" fontId="75" fillId="16" borderId="91" xfId="30" applyNumberFormat="1" applyFont="1" applyBorder="1" applyAlignment="1" applyProtection="1">
      <alignment horizontal="center" vertical="center"/>
    </xf>
    <xf numFmtId="166" fontId="75" fillId="16" borderId="44" xfId="30" applyNumberFormat="1" applyFont="1" applyBorder="1" applyAlignment="1" applyProtection="1">
      <alignment horizontal="center" vertical="center"/>
    </xf>
    <xf numFmtId="166" fontId="75" fillId="16" borderId="43" xfId="30" applyNumberFormat="1" applyFont="1" applyBorder="1" applyAlignment="1" applyProtection="1">
      <alignment horizontal="right" vertical="center"/>
    </xf>
    <xf numFmtId="0" fontId="74" fillId="0" borderId="101" xfId="0" applyFont="1" applyBorder="1" applyAlignment="1">
      <alignment horizontal="right" vertical="center" wrapText="1"/>
    </xf>
    <xf numFmtId="166" fontId="75" fillId="16" borderId="17" xfId="30" applyNumberFormat="1" applyFont="1" applyBorder="1" applyAlignment="1" applyProtection="1">
      <alignment horizontal="center" vertical="center"/>
    </xf>
    <xf numFmtId="166" fontId="28" fillId="21" borderId="94" xfId="30" applyNumberFormat="1" applyFill="1" applyBorder="1" applyAlignment="1" applyProtection="1">
      <alignment horizontal="right" vertical="center"/>
    </xf>
    <xf numFmtId="0" fontId="38" fillId="0" borderId="14" xfId="0" applyFont="1" applyBorder="1" applyAlignment="1">
      <alignment horizontal="left" vertical="center" wrapText="1"/>
    </xf>
    <xf numFmtId="0" fontId="38" fillId="0" borderId="11" xfId="0" applyFont="1" applyBorder="1" applyAlignment="1">
      <alignment horizontal="left" vertical="center" wrapText="1"/>
    </xf>
    <xf numFmtId="166" fontId="28" fillId="21" borderId="89" xfId="30" applyNumberFormat="1" applyFill="1" applyBorder="1" applyAlignment="1" applyProtection="1">
      <alignment horizontal="right" vertical="center"/>
    </xf>
    <xf numFmtId="0" fontId="65" fillId="0" borderId="0" xfId="0" applyFont="1" applyAlignment="1">
      <alignment horizontal="center"/>
    </xf>
    <xf numFmtId="0" fontId="52" fillId="0" borderId="0" xfId="0" applyFont="1" applyAlignment="1">
      <alignment horizontal="center"/>
    </xf>
    <xf numFmtId="0" fontId="78" fillId="0" borderId="0" xfId="0" applyFont="1" applyAlignment="1">
      <alignment horizontal="center"/>
    </xf>
    <xf numFmtId="0" fontId="38" fillId="0" borderId="2" xfId="0" applyFont="1" applyBorder="1" applyAlignment="1">
      <alignment horizontal="center" vertical="center"/>
    </xf>
    <xf numFmtId="166" fontId="28" fillId="21" borderId="34" xfId="30" applyNumberFormat="1" applyFill="1" applyAlignment="1" applyProtection="1">
      <alignment horizontal="right" vertical="center"/>
    </xf>
    <xf numFmtId="0" fontId="38" fillId="0" borderId="12" xfId="0" applyFont="1" applyBorder="1" applyAlignment="1">
      <alignment horizontal="left" vertical="center" wrapText="1"/>
    </xf>
    <xf numFmtId="166" fontId="75" fillId="16" borderId="92" xfId="30" applyNumberFormat="1" applyFont="1" applyBorder="1" applyAlignment="1" applyProtection="1">
      <alignment horizontal="right" vertical="center"/>
    </xf>
    <xf numFmtId="166" fontId="75" fillId="16" borderId="95" xfId="30" applyNumberFormat="1" applyFont="1" applyBorder="1" applyAlignment="1" applyProtection="1">
      <alignment horizontal="right" vertical="center"/>
    </xf>
    <xf numFmtId="166" fontId="75" fillId="16" borderId="96" xfId="30" applyNumberFormat="1" applyFont="1" applyBorder="1" applyAlignment="1" applyProtection="1">
      <alignment horizontal="right" vertical="center"/>
    </xf>
    <xf numFmtId="166" fontId="75" fillId="16" borderId="105" xfId="30" applyNumberFormat="1" applyFont="1" applyBorder="1" applyAlignment="1" applyProtection="1">
      <alignment horizontal="center" vertical="center"/>
    </xf>
    <xf numFmtId="166" fontId="75" fillId="16" borderId="0" xfId="30" applyNumberFormat="1" applyFont="1" applyBorder="1" applyAlignment="1" applyProtection="1">
      <alignment horizontal="center" vertical="center"/>
    </xf>
    <xf numFmtId="166" fontId="75" fillId="16" borderId="84" xfId="30" applyNumberFormat="1" applyFont="1" applyBorder="1" applyAlignment="1" applyProtection="1">
      <alignment horizontal="center" vertical="center"/>
    </xf>
    <xf numFmtId="166" fontId="75" fillId="16" borderId="102" xfId="30" applyNumberFormat="1" applyFont="1" applyBorder="1" applyAlignment="1" applyProtection="1">
      <alignment horizontal="center" vertical="center"/>
    </xf>
    <xf numFmtId="166" fontId="75" fillId="16" borderId="103" xfId="30" applyNumberFormat="1" applyFont="1" applyBorder="1" applyAlignment="1" applyProtection="1">
      <alignment horizontal="center" vertical="center"/>
    </xf>
    <xf numFmtId="166" fontId="75" fillId="16" borderId="104" xfId="30" applyNumberFormat="1" applyFont="1" applyBorder="1" applyAlignment="1" applyProtection="1">
      <alignment horizontal="center" vertical="center"/>
    </xf>
    <xf numFmtId="166" fontId="28" fillId="21" borderId="48" xfId="30" applyNumberFormat="1" applyFill="1" applyBorder="1" applyAlignment="1" applyProtection="1">
      <alignment horizontal="right" vertical="center"/>
    </xf>
    <xf numFmtId="0" fontId="38" fillId="0" borderId="13" xfId="0" applyFont="1" applyBorder="1" applyAlignment="1">
      <alignment horizontal="left" vertical="center" wrapText="1"/>
    </xf>
    <xf numFmtId="0" fontId="38" fillId="0" borderId="4" xfId="0" applyFont="1" applyBorder="1" applyAlignment="1">
      <alignment horizontal="center" vertical="center" wrapText="1"/>
    </xf>
    <xf numFmtId="166" fontId="75" fillId="16" borderId="99" xfId="30" applyNumberFormat="1" applyFont="1" applyBorder="1" applyAlignment="1" applyProtection="1">
      <alignment horizontal="center" vertical="center"/>
    </xf>
    <xf numFmtId="166" fontId="75" fillId="16" borderId="13" xfId="30" applyNumberFormat="1" applyFont="1" applyBorder="1" applyAlignment="1" applyProtection="1">
      <alignment horizontal="center" vertical="center"/>
    </xf>
    <xf numFmtId="166" fontId="75" fillId="16" borderId="100" xfId="30" applyNumberFormat="1" applyFont="1" applyBorder="1" applyAlignment="1" applyProtection="1">
      <alignment horizontal="center" vertical="center"/>
    </xf>
    <xf numFmtId="167" fontId="28" fillId="21" borderId="98" xfId="30" applyNumberFormat="1" applyFill="1" applyBorder="1" applyAlignment="1">
      <alignment horizontal="center" vertical="center"/>
    </xf>
    <xf numFmtId="0" fontId="28" fillId="21" borderId="98" xfId="30" applyFill="1" applyBorder="1" applyAlignment="1">
      <alignment horizontal="center" vertical="center"/>
    </xf>
    <xf numFmtId="0" fontId="73" fillId="0" borderId="87" xfId="0" applyFont="1" applyBorder="1" applyAlignment="1">
      <alignment horizontal="right" vertical="center" wrapText="1"/>
    </xf>
    <xf numFmtId="0" fontId="79" fillId="0" borderId="139" xfId="0" applyFont="1" applyBorder="1" applyAlignment="1">
      <alignment horizontal="right" vertical="center" wrapText="1"/>
    </xf>
    <xf numFmtId="0" fontId="79" fillId="0" borderId="12" xfId="0" applyFont="1" applyBorder="1" applyAlignment="1">
      <alignment horizontal="right" vertical="center" wrapText="1"/>
    </xf>
    <xf numFmtId="0" fontId="79" fillId="0" borderId="140" xfId="0" applyFont="1" applyBorder="1" applyAlignment="1">
      <alignment horizontal="right" vertical="center" wrapText="1"/>
    </xf>
    <xf numFmtId="167" fontId="28" fillId="21" borderId="141" xfId="30" applyNumberFormat="1" applyFill="1" applyBorder="1" applyAlignment="1" applyProtection="1">
      <alignment horizontal="right" vertical="center"/>
    </xf>
    <xf numFmtId="167" fontId="28" fillId="21" borderId="106" xfId="30" applyNumberFormat="1" applyFill="1" applyBorder="1" applyAlignment="1" applyProtection="1">
      <alignment horizontal="right" vertical="center"/>
    </xf>
    <xf numFmtId="167" fontId="28" fillId="21" borderId="98" xfId="30" applyNumberFormat="1" applyFill="1" applyBorder="1" applyAlignment="1" applyProtection="1">
      <alignment horizontal="right" vertical="center"/>
    </xf>
    <xf numFmtId="167" fontId="28" fillId="21" borderId="43" xfId="30" applyNumberFormat="1" applyFill="1" applyBorder="1" applyAlignment="1" applyProtection="1">
      <alignment horizontal="right" vertical="center"/>
    </xf>
    <xf numFmtId="9" fontId="1" fillId="12" borderId="103" xfId="37" applyNumberFormat="1" applyFill="1" applyBorder="1" applyAlignment="1">
      <alignment horizontal="center" vertical="center"/>
    </xf>
    <xf numFmtId="0" fontId="20" fillId="0" borderId="0" xfId="0" applyFont="1" applyAlignment="1">
      <alignment horizontal="center" vertical="center" wrapText="1"/>
    </xf>
    <xf numFmtId="167" fontId="77" fillId="21" borderId="34" xfId="30" applyNumberFormat="1" applyFont="1" applyFill="1" applyAlignment="1" applyProtection="1">
      <alignment horizontal="center" vertical="center"/>
    </xf>
    <xf numFmtId="0" fontId="76" fillId="0" borderId="3" xfId="0" applyFont="1" applyBorder="1" applyAlignment="1">
      <alignment horizontal="left" vertical="center" wrapText="1"/>
    </xf>
    <xf numFmtId="0" fontId="76" fillId="0" borderId="4" xfId="0" applyFont="1" applyBorder="1" applyAlignment="1">
      <alignment horizontal="left" vertical="center" wrapText="1"/>
    </xf>
    <xf numFmtId="0" fontId="76" fillId="0" borderId="5" xfId="0" applyFont="1" applyBorder="1" applyAlignment="1">
      <alignment horizontal="left" vertical="center" wrapText="1"/>
    </xf>
    <xf numFmtId="167" fontId="77" fillId="21" borderId="124" xfId="30" applyNumberFormat="1" applyFont="1" applyFill="1" applyBorder="1" applyAlignment="1" applyProtection="1">
      <alignment horizontal="center" vertical="center"/>
    </xf>
    <xf numFmtId="167" fontId="77" fillId="21" borderId="97" xfId="30" applyNumberFormat="1" applyFont="1" applyFill="1" applyBorder="1" applyAlignment="1" applyProtection="1">
      <alignment horizontal="center" vertical="center"/>
    </xf>
    <xf numFmtId="167" fontId="77" fillId="21" borderId="122" xfId="30" applyNumberFormat="1" applyFont="1" applyFill="1" applyBorder="1" applyAlignment="1" applyProtection="1">
      <alignment horizontal="center" vertical="center"/>
    </xf>
    <xf numFmtId="167" fontId="77" fillId="21" borderId="121" xfId="30" applyNumberFormat="1" applyFont="1" applyFill="1" applyBorder="1" applyAlignment="1" applyProtection="1">
      <alignment horizontal="center" vertical="center"/>
    </xf>
    <xf numFmtId="0" fontId="0" fillId="0" borderId="0" xfId="0" applyAlignment="1">
      <alignment horizontal="center"/>
    </xf>
    <xf numFmtId="9" fontId="1" fillId="12" borderId="0" xfId="37" applyNumberFormat="1" applyFill="1" applyBorder="1" applyAlignment="1" applyProtection="1">
      <alignment horizontal="center" vertical="center"/>
    </xf>
    <xf numFmtId="9" fontId="1" fillId="12" borderId="103" xfId="37" applyNumberFormat="1" applyFill="1" applyBorder="1" applyAlignment="1" applyProtection="1">
      <alignment horizontal="center" vertical="center"/>
    </xf>
    <xf numFmtId="166" fontId="28" fillId="21" borderId="118" xfId="30" applyNumberFormat="1" applyFill="1" applyBorder="1" applyAlignment="1" applyProtection="1">
      <alignment horizontal="right" vertical="center"/>
    </xf>
    <xf numFmtId="167" fontId="77" fillId="21" borderId="43" xfId="30" applyNumberFormat="1" applyFont="1" applyFill="1" applyBorder="1" applyAlignment="1" applyProtection="1">
      <alignment horizontal="right" vertical="center"/>
    </xf>
    <xf numFmtId="0" fontId="76" fillId="0" borderId="19" xfId="0" applyFont="1" applyBorder="1" applyAlignment="1">
      <alignment horizontal="left" vertical="center" wrapText="1"/>
    </xf>
    <xf numFmtId="0" fontId="76" fillId="0" borderId="7" xfId="0" applyFont="1" applyBorder="1" applyAlignment="1">
      <alignment horizontal="left" vertical="center" wrapText="1"/>
    </xf>
    <xf numFmtId="0" fontId="76" fillId="0" borderId="119" xfId="0" applyFont="1" applyBorder="1" applyAlignment="1">
      <alignment horizontal="left" vertical="center" wrapText="1"/>
    </xf>
    <xf numFmtId="166" fontId="75" fillId="12" borderId="92" xfId="30" applyNumberFormat="1" applyFont="1" applyFill="1" applyBorder="1" applyAlignment="1" applyProtection="1">
      <alignment horizontal="right" vertical="center"/>
    </xf>
    <xf numFmtId="0" fontId="38" fillId="0" borderId="87" xfId="0" applyFont="1" applyBorder="1" applyAlignment="1">
      <alignment horizontal="left" vertical="center" wrapText="1"/>
    </xf>
    <xf numFmtId="0" fontId="38" fillId="0" borderId="88" xfId="0" applyFont="1" applyBorder="1" applyAlignment="1">
      <alignment horizontal="left" vertical="center" wrapText="1"/>
    </xf>
    <xf numFmtId="166" fontId="75" fillId="16" borderId="106" xfId="30" applyNumberFormat="1" applyFont="1" applyBorder="1" applyAlignment="1" applyProtection="1">
      <alignment horizontal="right" vertical="center"/>
    </xf>
    <xf numFmtId="0" fontId="74" fillId="0" borderId="120" xfId="0" applyFont="1" applyBorder="1" applyAlignment="1">
      <alignment horizontal="right" vertical="center" wrapText="1"/>
    </xf>
    <xf numFmtId="0" fontId="74" fillId="0" borderId="15" xfId="0" applyFont="1" applyBorder="1" applyAlignment="1">
      <alignment horizontal="right" vertical="center" wrapText="1"/>
    </xf>
    <xf numFmtId="0" fontId="74" fillId="0" borderId="17" xfId="0" applyFont="1" applyBorder="1" applyAlignment="1">
      <alignment horizontal="right" vertical="center" wrapText="1"/>
    </xf>
    <xf numFmtId="166" fontId="75" fillId="12" borderId="106" xfId="30" applyNumberFormat="1" applyFont="1" applyFill="1" applyBorder="1" applyAlignment="1" applyProtection="1">
      <alignment horizontal="right" vertical="center"/>
    </xf>
    <xf numFmtId="167" fontId="1" fillId="12" borderId="97" xfId="37" applyNumberFormat="1" applyFill="1" applyBorder="1" applyAlignment="1" applyProtection="1">
      <alignment horizontal="center" vertical="center"/>
    </xf>
    <xf numFmtId="167" fontId="1" fillId="12" borderId="7" xfId="37" applyNumberFormat="1" applyFill="1" applyBorder="1" applyAlignment="1" applyProtection="1">
      <alignment horizontal="right" vertical="center"/>
    </xf>
    <xf numFmtId="167" fontId="1" fillId="12" borderId="97" xfId="37" applyNumberFormat="1" applyFill="1" applyBorder="1" applyAlignment="1" applyProtection="1">
      <alignment horizontal="right" vertical="center"/>
    </xf>
    <xf numFmtId="167" fontId="77" fillId="21" borderId="34" xfId="30" applyNumberFormat="1" applyFont="1" applyFill="1" applyAlignment="1">
      <alignment horizontal="center" vertical="center"/>
    </xf>
    <xf numFmtId="0" fontId="77" fillId="21" borderId="34" xfId="30" applyFont="1" applyFill="1" applyAlignment="1">
      <alignment horizontal="center" vertical="center"/>
    </xf>
    <xf numFmtId="167" fontId="77" fillId="21" borderId="34" xfId="30" applyNumberFormat="1" applyFont="1" applyFill="1" applyAlignment="1" applyProtection="1">
      <alignment horizontal="right" vertical="center"/>
    </xf>
    <xf numFmtId="0" fontId="73" fillId="0" borderId="4" xfId="0" applyFont="1" applyBorder="1" applyAlignment="1">
      <alignment horizontal="right" vertical="center" wrapText="1"/>
    </xf>
    <xf numFmtId="0" fontId="101" fillId="0" borderId="0" xfId="40" applyFont="1" applyAlignment="1">
      <alignment horizontal="left"/>
    </xf>
    <xf numFmtId="0" fontId="102" fillId="0" borderId="0" xfId="0" applyFont="1" applyAlignment="1">
      <alignment horizontal="center"/>
    </xf>
    <xf numFmtId="0" fontId="82" fillId="24" borderId="0" xfId="0" applyFont="1" applyFill="1" applyAlignment="1">
      <alignment horizontal="center"/>
    </xf>
    <xf numFmtId="0" fontId="82" fillId="25" borderId="0" xfId="0" applyFont="1" applyFill="1" applyAlignment="1">
      <alignment horizontal="center" vertical="top"/>
    </xf>
    <xf numFmtId="0" fontId="82" fillId="25" borderId="107" xfId="0" applyFont="1" applyFill="1" applyBorder="1" applyAlignment="1">
      <alignment horizontal="center" vertical="top"/>
    </xf>
    <xf numFmtId="0" fontId="82" fillId="23" borderId="0" xfId="0" applyFont="1" applyFill="1" applyAlignment="1">
      <alignment horizontal="center"/>
    </xf>
    <xf numFmtId="0" fontId="82" fillId="13" borderId="0" xfId="0" applyFont="1" applyFill="1" applyAlignment="1">
      <alignment horizontal="center"/>
    </xf>
    <xf numFmtId="0" fontId="14" fillId="0" borderId="6" xfId="26" applyAlignment="1">
      <alignment horizontal="center"/>
    </xf>
    <xf numFmtId="0" fontId="26" fillId="0" borderId="32" xfId="28" applyAlignment="1">
      <alignment horizontal="center"/>
    </xf>
    <xf numFmtId="0" fontId="129" fillId="38" borderId="11" xfId="0" applyFont="1" applyFill="1" applyBorder="1" applyAlignment="1">
      <alignment horizontal="center"/>
    </xf>
    <xf numFmtId="0" fontId="129" fillId="12" borderId="2" xfId="0" applyFont="1" applyFill="1" applyBorder="1" applyAlignment="1">
      <alignment horizontal="center"/>
    </xf>
    <xf numFmtId="0" fontId="116" fillId="0" borderId="2" xfId="0" applyFont="1" applyBorder="1" applyAlignment="1">
      <alignment horizontal="left"/>
    </xf>
    <xf numFmtId="0" fontId="129" fillId="38" borderId="2" xfId="0" applyFont="1" applyFill="1" applyBorder="1" applyAlignment="1">
      <alignment horizontal="center"/>
    </xf>
    <xf numFmtId="0" fontId="26" fillId="0" borderId="32" xfId="28" applyAlignment="1">
      <alignment horizontal="center" vertical="center"/>
    </xf>
    <xf numFmtId="0" fontId="26" fillId="0" borderId="83" xfId="39" applyBorder="1" applyAlignment="1">
      <alignment horizontal="center" vertical="center"/>
    </xf>
    <xf numFmtId="0" fontId="26" fillId="0" borderId="0" xfId="39" applyBorder="1" applyAlignment="1">
      <alignment horizontal="center" vertical="center"/>
    </xf>
    <xf numFmtId="0" fontId="127" fillId="0" borderId="0" xfId="0" applyFont="1" applyAlignment="1">
      <alignment horizontal="center"/>
    </xf>
    <xf numFmtId="0" fontId="123" fillId="0" borderId="7" xfId="0" applyFont="1" applyBorder="1" applyAlignment="1">
      <alignment horizontal="center"/>
    </xf>
    <xf numFmtId="0" fontId="14" fillId="7" borderId="0" xfId="26" applyFill="1" applyBorder="1" applyAlignment="1">
      <alignment horizontal="center"/>
    </xf>
    <xf numFmtId="0" fontId="6" fillId="0" borderId="0" xfId="0" applyFont="1" applyAlignment="1">
      <alignment horizontal="center"/>
    </xf>
  </cellXfs>
  <cellStyles count="41">
    <cellStyle name="20% - Accent1" xfId="17" builtinId="30"/>
    <cellStyle name="20% - Accent2" xfId="36" builtinId="34"/>
    <cellStyle name="20% - Accent3" xfId="18" builtinId="38"/>
    <cellStyle name="20% - Accent4" xfId="19" builtinId="42"/>
    <cellStyle name="20% - Accent6" xfId="37" builtinId="50"/>
    <cellStyle name="40% - Accent1" xfId="20" builtinId="31"/>
    <cellStyle name="Accent1" xfId="35" builtinId="29"/>
    <cellStyle name="Calculation" xfId="31" builtinId="22"/>
    <cellStyle name="Comma" xfId="25" builtinId="3"/>
    <cellStyle name="Comma 2" xfId="3" xr:uid="{00000000-0005-0000-0000-000004000000}"/>
    <cellStyle name="Comma 3" xfId="22" xr:uid="{00000000-0005-0000-0000-000005000000}"/>
    <cellStyle name="Currency" xfId="24" builtinId="4"/>
    <cellStyle name="Currency 2" xfId="4" xr:uid="{00000000-0005-0000-0000-000006000000}"/>
    <cellStyle name="Currency 3" xfId="21" xr:uid="{00000000-0005-0000-0000-000007000000}"/>
    <cellStyle name="Explanatory Text" xfId="34" builtinId="53"/>
    <cellStyle name="Followed Hyperlink" xfId="11" builtinId="9" hidden="1"/>
    <cellStyle name="Followed Hyperlink" xfId="9" builtinId="9" hidden="1"/>
    <cellStyle name="Followed Hyperlink" xfId="15" builtinId="9" hidden="1"/>
    <cellStyle name="Followed Hyperlink" xfId="13" builtinId="9" hidden="1"/>
    <cellStyle name="Followed Hyperlink" xfId="7" builtinId="9" hidden="1"/>
    <cellStyle name="Heading 1" xfId="27" builtinId="16"/>
    <cellStyle name="Heading 2" xfId="26" builtinId="17"/>
    <cellStyle name="Heading 3" xfId="28" builtinId="18"/>
    <cellStyle name="Heading 4" xfId="39" builtinId="19"/>
    <cellStyle name="Hyperlink" xfId="6" builtinId="8" hidden="1"/>
    <cellStyle name="Hyperlink" xfId="8" builtinId="8" hidden="1"/>
    <cellStyle name="Hyperlink" xfId="10" builtinId="8" hidden="1"/>
    <cellStyle name="Hyperlink" xfId="12" builtinId="8" hidden="1"/>
    <cellStyle name="Hyperlink" xfId="14" builtinId="8" hidden="1"/>
    <cellStyle name="Hyperlink" xfId="40" builtinId="8"/>
    <cellStyle name="Input" xfId="29" builtinId="20"/>
    <cellStyle name="Linked Cell" xfId="32" builtinId="24"/>
    <cellStyle name="Normal" xfId="0" builtinId="0"/>
    <cellStyle name="Normal 2" xfId="2" xr:uid="{00000000-0005-0000-0000-000015000000}"/>
    <cellStyle name="Normal 3" xfId="23" xr:uid="{00000000-0005-0000-0000-000016000000}"/>
    <cellStyle name="Note" xfId="16" builtinId="10"/>
    <cellStyle name="Output" xfId="30" builtinId="21"/>
    <cellStyle name="Percent" xfId="1" builtinId="5"/>
    <cellStyle name="Percent 2" xfId="5" xr:uid="{00000000-0005-0000-0000-000019000000}"/>
    <cellStyle name="Title" xfId="38" builtinId="15"/>
    <cellStyle name="Warning Text" xfId="33" builtinId="11"/>
  </cellStyles>
  <dxfs count="16">
    <dxf>
      <fill>
        <patternFill patternType="solid">
          <bgColor rgb="FFFF9797"/>
        </patternFill>
      </fill>
    </dxf>
    <dxf>
      <fill>
        <patternFill>
          <bgColor theme="5" tint="0.39994506668294322"/>
        </patternFill>
      </fill>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alignment horizontal="right" vertical="bottom" textRotation="0" indent="0" justifyLastLine="0" shrinkToFit="0" readingOrder="0"/>
    </dxf>
    <dxf>
      <numFmt numFmtId="2" formatCode="0.00"/>
      <alignment horizontal="right" vertical="bottom" textRotation="0" wrapText="0" indent="0" justifyLastLine="0" shrinkToFit="0" readingOrder="0"/>
    </dxf>
    <dxf>
      <numFmt numFmtId="2" formatCode="0.00"/>
      <alignment horizontal="right" vertical="bottom" textRotation="0" wrapText="0" indent="0" justifyLastLine="0" shrinkToFit="0" readingOrder="0"/>
    </dxf>
    <dxf>
      <font>
        <b/>
        <family val="2"/>
      </font>
      <fill>
        <patternFill patternType="none">
          <fgColor indexed="64"/>
          <bgColor indexed="65"/>
        </patternFill>
      </fill>
    </dxf>
    <dxf>
      <alignment horizontal="general" vertical="bottom" textRotation="0" wrapText="1" indent="0" justifyLastLine="0" shrinkToFit="0" readingOrder="0"/>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E1DFE1"/>
      <color rgb="FFFAC01A"/>
      <color rgb="FF0052BF"/>
      <color rgb="FFFBCF53"/>
      <color rgb="FFF6F600"/>
      <color rgb="FFF2F2F2"/>
      <color rgb="FFF3E479"/>
      <color rgb="FFE80404"/>
      <color rgb="FFA8BFAE"/>
      <color rgb="FFE8E6D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eetMetadata" Target="metadata.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2.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8C34811-B9C4-4931-A9CE-7CBC8E970AF0}" name="Table1" displayName="Table1" ref="H3:T103" totalsRowShown="0" headerRowDxfId="15">
  <autoFilter ref="H3:T103" xr:uid="{A8C34811-B9C4-4931-A9CE-7CBC8E970AF0}"/>
  <tableColumns count="13">
    <tableColumn id="1" xr3:uid="{A09D28AE-FEF4-451A-942F-25ECE7CE2FFB}" name="Percent Effort" dataDxfId="14"/>
    <tableColumn id="2" xr3:uid="{5251DE9C-7720-4B01-B2D8-4B7A56DF9CE3}" name="Calendar Months" dataDxfId="13">
      <calculatedColumnFormula>Table1[[#This Row],[Percent Effort]]*$C$4</calculatedColumnFormula>
    </tableColumn>
    <tableColumn id="3" xr3:uid="{C1856A0F-D524-4216-A140-F5BA3C8CCE7C}" name="Academic Months" dataDxfId="12">
      <calculatedColumnFormula>Table1[[#This Row],[Percent Effort]]*$C$5</calculatedColumnFormula>
    </tableColumn>
    <tableColumn id="4" xr3:uid="{EBDDFDA4-3BAB-407A-8679-2F21D652E8B0}" name="Summer Months" dataDxfId="11">
      <calculatedColumnFormula>Table1[[#This Row],[Percent Effort]]*$C$6</calculatedColumnFormula>
    </tableColumn>
    <tableColumn id="8" xr3:uid="{7B9C56C8-2676-4584-93A2-C2100BF1E4E2}" name="Calendar Weeks" dataDxfId="10">
      <calculatedColumnFormula>Table1[[#This Row],[Percent Effort]]*$D$4</calculatedColumnFormula>
    </tableColumn>
    <tableColumn id="9" xr3:uid="{6A56838B-E61F-42DF-BD4C-DAE741E0B4E7}" name="Academic Weeks" dataDxfId="9">
      <calculatedColumnFormula>Table1[[#This Row],[Percent Effort]]*$D$5</calculatedColumnFormula>
    </tableColumn>
    <tableColumn id="10" xr3:uid="{5702A7A4-82A8-457E-A199-892B3FAC059C}" name="Summer Weeks" dataDxfId="8">
      <calculatedColumnFormula>Table1[[#This Row],[Percent Effort]]*$D$6</calculatedColumnFormula>
    </tableColumn>
    <tableColumn id="11" xr3:uid="{6FB8F004-F656-478E-9A38-1B7FDBE10F33}" name="Calendar Days" dataDxfId="7">
      <calculatedColumnFormula>Table1[[#This Row],[Percent Effort]]*$E$4</calculatedColumnFormula>
    </tableColumn>
    <tableColumn id="12" xr3:uid="{56C75E9D-2DC0-492C-B237-D080FCFC1EE0}" name="Academic Days" dataDxfId="6">
      <calculatedColumnFormula>Table1[[#This Row],[Percent Effort]]*$E$5</calculatedColumnFormula>
    </tableColumn>
    <tableColumn id="13" xr3:uid="{8A05B2E4-DC13-4399-AB55-61880511E3B6}" name="Summer Days" dataDxfId="5">
      <calculatedColumnFormula>Table1[[#This Row],[Percent Effort]]*$E$6</calculatedColumnFormula>
    </tableColumn>
    <tableColumn id="14" xr3:uid="{BF1F8279-0963-4625-BE18-2DC8BD29C52A}" name="Calendar Hours" dataDxfId="4">
      <calculatedColumnFormula>Table1[[#This Row],[Percent Effort]]*$F$4</calculatedColumnFormula>
    </tableColumn>
    <tableColumn id="15" xr3:uid="{1741DA5A-34AE-45CF-9473-12F962439940}" name="Academic Hours" dataDxfId="3">
      <calculatedColumnFormula>Table1[[#This Row],[Percent Effort]]*$F$5</calculatedColumnFormula>
    </tableColumn>
    <tableColumn id="16" xr3:uid="{45C7E37A-E927-4C43-AD53-4AB0E4044E26}" name="Summer Hours" dataDxfId="2">
      <calculatedColumnFormula>Table1[[#This Row],[Percent Effort]]*$F$6</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NAU Colors-2">
      <a:dk1>
        <a:srgbClr val="002454"/>
      </a:dk1>
      <a:lt1>
        <a:sysClr val="window" lastClr="FFFFFF"/>
      </a:lt1>
      <a:dk2>
        <a:srgbClr val="1F497D"/>
      </a:dk2>
      <a:lt2>
        <a:srgbClr val="C3B8B2"/>
      </a:lt2>
      <a:accent1>
        <a:srgbClr val="0066B2"/>
      </a:accent1>
      <a:accent2>
        <a:srgbClr val="CF4527"/>
      </a:accent2>
      <a:accent3>
        <a:srgbClr val="007A33"/>
      </a:accent3>
      <a:accent4>
        <a:srgbClr val="8064A2"/>
      </a:accent4>
      <a:accent5>
        <a:srgbClr val="00ADB5"/>
      </a:accent5>
      <a:accent6>
        <a:srgbClr val="F68300"/>
      </a:accent6>
      <a:hlink>
        <a:srgbClr val="FFFFFF"/>
      </a:hlink>
      <a:folHlink>
        <a:srgbClr val="FE19FF"/>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hyperlink" Target="https://gao.az.gov/state-arizona-accounting-manual-saam" TargetMode="External"/><Relationship Id="rId2" Type="http://schemas.openxmlformats.org/officeDocument/2006/relationships/hyperlink" Target="https://nau.edu/university-policy-library/travel-policies/" TargetMode="External"/><Relationship Id="rId1" Type="http://schemas.openxmlformats.org/officeDocument/2006/relationships/hyperlink" Target="https://www.gsa.gov/" TargetMode="External"/><Relationship Id="rId4" Type="http://schemas.openxmlformats.org/officeDocument/2006/relationships/hyperlink" Target="https://gao.az.gov/state-arizona-accounting-manual-saam" TargetMode="External"/></Relationships>
</file>

<file path=xl/worksheets/_rels/sheet7.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3F02E4-0A2D-4ECC-8EB4-F99B2081786A}">
  <sheetPr>
    <tabColor theme="5" tint="0.39997558519241921"/>
  </sheetPr>
  <dimension ref="B1:V101"/>
  <sheetViews>
    <sheetView showGridLines="0" tabSelected="1" workbookViewId="0">
      <selection activeCell="S13" sqref="S13"/>
    </sheetView>
  </sheetViews>
  <sheetFormatPr defaultRowHeight="12.75" outlineLevelRow="1" x14ac:dyDescent="0.2"/>
  <cols>
    <col min="1" max="1" width="4" customWidth="1"/>
    <col min="2" max="2" width="22.7109375" style="21" customWidth="1"/>
    <col min="3" max="3" width="16.85546875" customWidth="1"/>
    <col min="4" max="4" width="18.85546875" customWidth="1"/>
    <col min="5" max="5" width="12.42578125" customWidth="1"/>
    <col min="6" max="6" width="14.28515625" customWidth="1"/>
    <col min="7" max="7" width="14.140625" customWidth="1"/>
    <col min="8" max="8" width="13.5703125" customWidth="1"/>
    <col min="9" max="9" width="5.28515625" customWidth="1"/>
    <col min="10" max="13" width="7.7109375" customWidth="1"/>
    <col min="15" max="15" width="7.7109375" customWidth="1"/>
    <col min="17" max="17" width="7.42578125" customWidth="1"/>
  </cols>
  <sheetData>
    <row r="1" spans="2:17" ht="23.25" customHeight="1" x14ac:dyDescent="0.2">
      <c r="B1" s="623" t="s">
        <v>0</v>
      </c>
      <c r="C1" s="623"/>
      <c r="D1" s="623"/>
      <c r="E1" s="623"/>
      <c r="F1" s="623"/>
      <c r="G1" s="623"/>
      <c r="H1" s="623"/>
      <c r="I1" s="623"/>
      <c r="J1" s="623"/>
      <c r="K1" s="623"/>
      <c r="L1" s="623"/>
      <c r="M1" s="623"/>
      <c r="N1" s="623"/>
      <c r="O1" s="623"/>
      <c r="P1" s="623"/>
    </row>
    <row r="2" spans="2:17" ht="28.5" customHeight="1" x14ac:dyDescent="0.2">
      <c r="B2" s="623"/>
      <c r="C2" s="623"/>
      <c r="D2" s="623"/>
      <c r="E2" s="623"/>
      <c r="F2" s="623"/>
      <c r="G2" s="623"/>
      <c r="H2" s="623"/>
      <c r="I2" s="623"/>
      <c r="J2" s="623"/>
      <c r="K2" s="623"/>
      <c r="L2" s="623"/>
      <c r="M2" s="623"/>
      <c r="N2" s="623"/>
      <c r="O2" s="623"/>
      <c r="P2" s="623"/>
    </row>
    <row r="3" spans="2:17" ht="16.5" customHeight="1" x14ac:dyDescent="0.2">
      <c r="B3" s="623"/>
      <c r="C3" s="623"/>
      <c r="D3" s="623"/>
      <c r="E3" s="623"/>
      <c r="F3" s="623"/>
      <c r="G3" s="623"/>
      <c r="H3" s="623"/>
      <c r="I3" s="623"/>
      <c r="J3" s="623"/>
      <c r="K3" s="623"/>
      <c r="L3" s="623"/>
      <c r="M3" s="623"/>
      <c r="N3" s="623"/>
      <c r="O3" s="623"/>
      <c r="P3" s="623"/>
    </row>
    <row r="4" spans="2:17" x14ac:dyDescent="0.2">
      <c r="C4" s="22"/>
    </row>
    <row r="5" spans="2:17" ht="23.25" customHeight="1" x14ac:dyDescent="0.25">
      <c r="B5" s="630" t="s">
        <v>1</v>
      </c>
      <c r="C5" s="630"/>
      <c r="D5" s="99" t="s">
        <v>2</v>
      </c>
      <c r="E5" s="99"/>
      <c r="F5" s="99"/>
      <c r="G5" s="99"/>
      <c r="H5" s="99"/>
      <c r="I5" s="99"/>
      <c r="J5" s="99"/>
      <c r="K5" s="99"/>
      <c r="L5" s="99"/>
      <c r="M5" s="99"/>
      <c r="N5" s="99"/>
      <c r="O5" s="99"/>
      <c r="P5" s="97"/>
      <c r="Q5" s="25"/>
    </row>
    <row r="6" spans="2:17" ht="15.75" x14ac:dyDescent="0.25">
      <c r="B6" s="95"/>
      <c r="D6" s="99" t="s">
        <v>3</v>
      </c>
      <c r="F6" s="99"/>
      <c r="G6" s="99"/>
      <c r="H6" s="99"/>
      <c r="I6" s="99"/>
      <c r="J6" s="99"/>
      <c r="K6" s="99"/>
      <c r="L6" s="99"/>
      <c r="M6" s="99"/>
      <c r="N6" s="99"/>
      <c r="O6" s="99"/>
      <c r="P6" s="97"/>
      <c r="Q6" s="25"/>
    </row>
    <row r="7" spans="2:17" ht="23.25" customHeight="1" x14ac:dyDescent="0.25">
      <c r="B7" s="631" t="s">
        <v>4</v>
      </c>
      <c r="C7" s="631"/>
      <c r="D7" s="99" t="s">
        <v>5</v>
      </c>
      <c r="E7" s="99"/>
      <c r="F7" s="99"/>
      <c r="G7" s="99"/>
      <c r="H7" s="99"/>
      <c r="I7" s="99"/>
      <c r="J7" s="99"/>
      <c r="K7" s="99"/>
      <c r="L7" s="99"/>
      <c r="M7" s="99"/>
      <c r="N7" s="99"/>
      <c r="O7" s="99"/>
      <c r="P7" s="97"/>
      <c r="Q7" s="25"/>
    </row>
    <row r="8" spans="2:17" ht="15.75" x14ac:dyDescent="0.25">
      <c r="B8" s="95"/>
      <c r="D8" s="99" t="s">
        <v>6</v>
      </c>
      <c r="F8" s="99"/>
      <c r="G8" s="99"/>
      <c r="H8" s="99"/>
      <c r="I8" s="99"/>
      <c r="J8" s="99"/>
      <c r="K8" s="99"/>
      <c r="L8" s="99"/>
      <c r="M8" s="99"/>
      <c r="N8" s="99"/>
      <c r="O8" s="99"/>
      <c r="P8" s="97"/>
      <c r="Q8" s="25"/>
    </row>
    <row r="9" spans="2:17" ht="15.75" x14ac:dyDescent="0.25">
      <c r="B9" s="95"/>
      <c r="D9" s="99" t="s">
        <v>7</v>
      </c>
      <c r="F9" s="99"/>
      <c r="G9" s="99"/>
      <c r="H9" s="99"/>
      <c r="I9" s="99"/>
      <c r="J9" s="99"/>
      <c r="K9" s="99"/>
      <c r="L9" s="99"/>
      <c r="M9" s="99"/>
      <c r="N9" s="99"/>
      <c r="O9" s="99"/>
      <c r="P9" s="97"/>
      <c r="Q9" s="25"/>
    </row>
    <row r="10" spans="2:17" ht="15" customHeight="1" x14ac:dyDescent="0.25">
      <c r="D10" s="99" t="s">
        <v>8</v>
      </c>
      <c r="F10" s="99"/>
      <c r="G10" s="99"/>
      <c r="H10" s="99"/>
      <c r="I10" s="99"/>
      <c r="J10" s="99"/>
      <c r="K10" s="99"/>
      <c r="L10" s="99"/>
      <c r="M10" s="99"/>
      <c r="N10" s="99"/>
      <c r="O10" s="99"/>
      <c r="P10" s="97"/>
    </row>
    <row r="11" spans="2:17" ht="23.25" customHeight="1" x14ac:dyDescent="0.25">
      <c r="B11" s="632" t="s">
        <v>9</v>
      </c>
      <c r="C11" s="632"/>
      <c r="D11" s="99" t="s">
        <v>10</v>
      </c>
      <c r="E11" s="99"/>
      <c r="F11" s="99"/>
      <c r="G11" s="99"/>
      <c r="H11" s="99"/>
      <c r="I11" s="99"/>
      <c r="J11" s="99"/>
      <c r="K11" s="99"/>
      <c r="L11" s="99"/>
      <c r="M11" s="99"/>
      <c r="N11" s="99"/>
      <c r="O11" s="99"/>
      <c r="P11" s="97"/>
      <c r="Q11" s="25"/>
    </row>
    <row r="12" spans="2:17" ht="15.75" x14ac:dyDescent="0.25">
      <c r="B12" s="119"/>
      <c r="C12" s="119"/>
      <c r="D12" s="99" t="s">
        <v>11</v>
      </c>
      <c r="F12" s="99"/>
      <c r="G12" s="99"/>
      <c r="H12" s="99"/>
      <c r="I12" s="99"/>
      <c r="J12" s="99"/>
      <c r="K12" s="99"/>
      <c r="L12" s="99"/>
      <c r="M12" s="99"/>
      <c r="N12" s="99"/>
      <c r="O12" s="99"/>
      <c r="P12" s="97"/>
      <c r="Q12" s="25"/>
    </row>
    <row r="13" spans="2:17" ht="23.25" customHeight="1" x14ac:dyDescent="0.25">
      <c r="B13" s="624" t="s">
        <v>12</v>
      </c>
      <c r="C13" s="624"/>
      <c r="D13" s="99" t="s">
        <v>13</v>
      </c>
      <c r="E13" s="99"/>
      <c r="F13" s="99"/>
      <c r="G13" s="99"/>
      <c r="H13" s="99"/>
      <c r="I13" s="99"/>
      <c r="J13" s="99"/>
      <c r="K13" s="99"/>
      <c r="L13" s="99"/>
      <c r="M13" s="99"/>
      <c r="N13" s="99"/>
      <c r="O13" s="99"/>
      <c r="P13" s="97"/>
      <c r="Q13" s="25"/>
    </row>
    <row r="14" spans="2:17" ht="13.5" customHeight="1" x14ac:dyDescent="0.25">
      <c r="B14" s="119"/>
      <c r="C14" s="119"/>
      <c r="D14" s="99" t="s">
        <v>14</v>
      </c>
      <c r="F14" s="99"/>
      <c r="G14" s="99"/>
      <c r="H14" s="99"/>
      <c r="I14" s="99"/>
      <c r="J14" s="99"/>
      <c r="K14" s="99"/>
      <c r="L14" s="99"/>
      <c r="M14" s="99"/>
      <c r="N14" s="99"/>
      <c r="O14" s="99"/>
      <c r="P14" s="97"/>
      <c r="Q14" s="25"/>
    </row>
    <row r="15" spans="2:17" ht="23.25" customHeight="1" x14ac:dyDescent="0.25">
      <c r="B15" s="625" t="s">
        <v>15</v>
      </c>
      <c r="C15" s="625"/>
      <c r="D15" s="99" t="s">
        <v>16</v>
      </c>
      <c r="E15" s="99"/>
      <c r="F15" s="99"/>
      <c r="G15" s="99"/>
      <c r="H15" s="99"/>
      <c r="I15" s="99"/>
      <c r="J15" s="99"/>
      <c r="K15" s="99"/>
      <c r="L15" s="99"/>
      <c r="M15" s="99"/>
      <c r="N15" s="99"/>
      <c r="O15" s="99"/>
      <c r="P15" s="97"/>
      <c r="Q15" s="25"/>
    </row>
    <row r="16" spans="2:17" ht="13.5" customHeight="1" x14ac:dyDescent="0.25">
      <c r="B16" s="119"/>
      <c r="C16" s="119"/>
      <c r="D16" s="330" t="s">
        <v>17</v>
      </c>
      <c r="F16" s="99"/>
      <c r="G16" s="99"/>
      <c r="H16" s="99"/>
      <c r="I16" s="99"/>
      <c r="J16" s="99"/>
      <c r="K16" s="99"/>
      <c r="L16" s="99"/>
      <c r="M16" s="99"/>
      <c r="N16" s="99"/>
      <c r="O16" s="99"/>
      <c r="P16" s="97"/>
      <c r="Q16" s="25"/>
    </row>
    <row r="17" spans="2:17" ht="23.25" customHeight="1" x14ac:dyDescent="0.25">
      <c r="B17" s="633" t="s">
        <v>18</v>
      </c>
      <c r="C17" s="633"/>
      <c r="D17" s="99" t="s">
        <v>19</v>
      </c>
      <c r="E17" s="99"/>
      <c r="F17" s="99"/>
      <c r="G17" s="99"/>
      <c r="H17" s="99"/>
      <c r="I17" s="99"/>
      <c r="J17" s="99"/>
      <c r="K17" s="99"/>
      <c r="L17" s="99"/>
      <c r="M17" s="99"/>
      <c r="N17" s="99"/>
      <c r="O17" s="99"/>
      <c r="P17" s="97"/>
      <c r="Q17" s="25"/>
    </row>
    <row r="18" spans="2:17" ht="13.5" customHeight="1" x14ac:dyDescent="0.25">
      <c r="B18" s="119"/>
      <c r="C18" s="119"/>
      <c r="D18" s="99" t="s">
        <v>20</v>
      </c>
      <c r="E18" s="99"/>
      <c r="F18" s="99"/>
      <c r="G18" s="99"/>
      <c r="H18" s="99"/>
      <c r="I18" s="99"/>
      <c r="J18" s="99"/>
      <c r="K18" s="99"/>
      <c r="L18" s="99"/>
      <c r="M18" s="99"/>
      <c r="N18" s="99"/>
      <c r="O18" s="99"/>
      <c r="P18" s="97"/>
      <c r="Q18" s="25"/>
    </row>
    <row r="19" spans="2:17" ht="12.75" customHeight="1" x14ac:dyDescent="0.25">
      <c r="B19" s="119"/>
      <c r="C19" s="119"/>
      <c r="D19" s="99"/>
      <c r="E19" s="99"/>
      <c r="F19" s="99"/>
      <c r="G19" s="99"/>
      <c r="H19" s="99"/>
      <c r="I19" s="99"/>
      <c r="J19" s="99"/>
      <c r="K19" s="99"/>
      <c r="L19" s="99"/>
      <c r="M19" s="99"/>
      <c r="N19" s="99"/>
      <c r="O19" s="99"/>
      <c r="P19" s="97"/>
      <c r="Q19" s="25"/>
    </row>
    <row r="20" spans="2:17" ht="9.75" customHeight="1" x14ac:dyDescent="0.3">
      <c r="B20" s="331"/>
      <c r="C20" s="332"/>
      <c r="D20" s="332"/>
      <c r="E20" s="332"/>
      <c r="F20" s="332"/>
      <c r="G20" s="332"/>
      <c r="H20" s="332"/>
      <c r="I20" s="332"/>
      <c r="J20" s="332"/>
      <c r="K20" s="332"/>
      <c r="L20" s="332"/>
      <c r="M20" s="332"/>
      <c r="N20" s="23"/>
    </row>
    <row r="21" spans="2:17" ht="33" customHeight="1" thickBot="1" x14ac:dyDescent="0.35">
      <c r="B21" s="626" t="s">
        <v>21</v>
      </c>
      <c r="C21" s="626"/>
      <c r="D21" s="626"/>
      <c r="E21" s="626"/>
      <c r="F21" s="626"/>
      <c r="G21" s="626"/>
      <c r="H21" s="626"/>
      <c r="I21" s="626"/>
      <c r="J21" s="626"/>
      <c r="K21" s="626"/>
      <c r="L21" s="626"/>
      <c r="M21" s="626"/>
      <c r="N21" s="626"/>
      <c r="O21" s="626"/>
      <c r="P21" s="626"/>
    </row>
    <row r="22" spans="2:17" ht="13.5" thickTop="1" x14ac:dyDescent="0.2"/>
    <row r="23" spans="2:17" ht="15.75" x14ac:dyDescent="0.25">
      <c r="B23" s="105" t="s">
        <v>22</v>
      </c>
      <c r="C23" s="287" t="s">
        <v>23</v>
      </c>
      <c r="D23" s="108" t="s">
        <v>24</v>
      </c>
      <c r="E23" s="108"/>
      <c r="F23" s="108"/>
      <c r="G23" s="24"/>
      <c r="H23" s="24"/>
      <c r="I23" s="24"/>
    </row>
    <row r="24" spans="2:17" ht="6" customHeight="1" x14ac:dyDescent="0.25">
      <c r="B24" s="105"/>
      <c r="C24" s="96"/>
      <c r="D24" s="108"/>
      <c r="E24" s="108"/>
      <c r="F24" s="108"/>
      <c r="G24" s="23"/>
      <c r="H24" s="23"/>
      <c r="I24" s="23"/>
    </row>
    <row r="25" spans="2:17" ht="33" customHeight="1" x14ac:dyDescent="0.25">
      <c r="B25" s="105" t="s">
        <v>25</v>
      </c>
      <c r="C25" s="106" t="s">
        <v>26</v>
      </c>
      <c r="D25" s="108" t="s">
        <v>27</v>
      </c>
      <c r="E25" s="108"/>
      <c r="F25" s="108"/>
      <c r="G25" s="24"/>
      <c r="H25" s="24"/>
      <c r="I25" s="24"/>
    </row>
    <row r="26" spans="2:17" ht="10.5" customHeight="1" x14ac:dyDescent="0.25">
      <c r="B26" s="105"/>
      <c r="C26" s="96"/>
      <c r="D26" s="108"/>
      <c r="E26" s="108"/>
      <c r="F26" s="108"/>
      <c r="G26" s="23"/>
      <c r="H26" s="23"/>
      <c r="I26" s="23"/>
    </row>
    <row r="27" spans="2:17" ht="15.75" x14ac:dyDescent="0.25">
      <c r="B27" s="105" t="s">
        <v>28</v>
      </c>
      <c r="C27" s="94" t="s">
        <v>29</v>
      </c>
      <c r="D27" s="108" t="s">
        <v>30</v>
      </c>
      <c r="E27" s="108"/>
      <c r="F27" s="108"/>
      <c r="G27" s="24"/>
      <c r="H27" s="24"/>
      <c r="I27" s="24"/>
    </row>
    <row r="28" spans="2:17" ht="30.75" customHeight="1" thickBot="1" x14ac:dyDescent="0.3">
      <c r="B28" s="105" t="s">
        <v>31</v>
      </c>
      <c r="C28" s="107" t="s">
        <v>32</v>
      </c>
      <c r="D28" s="108" t="s">
        <v>33</v>
      </c>
      <c r="E28" s="108"/>
      <c r="F28" s="108"/>
      <c r="G28" s="24"/>
      <c r="H28" s="24"/>
      <c r="I28" s="24"/>
    </row>
    <row r="29" spans="2:17" ht="9.75" customHeight="1" thickTop="1" x14ac:dyDescent="0.25">
      <c r="B29" s="105"/>
      <c r="C29" s="95"/>
      <c r="D29" s="108"/>
      <c r="E29" s="108"/>
      <c r="F29" s="108"/>
      <c r="G29" s="23"/>
      <c r="H29" s="23"/>
      <c r="I29" s="23"/>
    </row>
    <row r="30" spans="2:17" ht="15.75" x14ac:dyDescent="0.25">
      <c r="B30" s="105" t="s">
        <v>34</v>
      </c>
      <c r="C30" s="333" t="s">
        <v>23</v>
      </c>
      <c r="D30" s="108" t="s">
        <v>35</v>
      </c>
      <c r="E30" s="108"/>
      <c r="F30" s="108"/>
      <c r="G30" s="23"/>
      <c r="H30" s="23"/>
      <c r="I30" s="23"/>
    </row>
    <row r="31" spans="2:17" ht="15.75" x14ac:dyDescent="0.25">
      <c r="B31" s="105"/>
      <c r="C31" s="334"/>
      <c r="D31" s="108"/>
      <c r="E31" s="108"/>
      <c r="F31" s="108"/>
      <c r="G31" s="23"/>
      <c r="H31" s="23"/>
      <c r="I31" s="23"/>
    </row>
    <row r="32" spans="2:17" ht="30" x14ac:dyDescent="0.25">
      <c r="B32" s="105" t="s">
        <v>36</v>
      </c>
      <c r="C32" s="335" t="s">
        <v>37</v>
      </c>
      <c r="D32" s="108" t="s">
        <v>38</v>
      </c>
      <c r="E32" s="108"/>
      <c r="F32" s="108"/>
      <c r="G32" s="23"/>
      <c r="H32" s="23"/>
      <c r="I32" s="23"/>
    </row>
    <row r="33" spans="2:17" ht="15.75" x14ac:dyDescent="0.25">
      <c r="B33" s="105"/>
      <c r="C33" s="334"/>
      <c r="D33" s="108"/>
      <c r="E33" s="108"/>
      <c r="F33" s="108"/>
      <c r="G33" s="23"/>
      <c r="H33" s="23"/>
      <c r="I33" s="23"/>
    </row>
    <row r="34" spans="2:17" ht="15" x14ac:dyDescent="0.25">
      <c r="B34" s="336" t="s">
        <v>39</v>
      </c>
      <c r="C34" s="337" t="s">
        <v>40</v>
      </c>
      <c r="D34" s="337"/>
      <c r="E34" s="337"/>
      <c r="F34" s="338"/>
      <c r="G34" s="339"/>
      <c r="H34" s="339"/>
      <c r="I34" s="339"/>
      <c r="J34" s="339"/>
      <c r="K34" s="339"/>
      <c r="L34" s="340"/>
    </row>
    <row r="35" spans="2:17" ht="15" x14ac:dyDescent="0.25">
      <c r="B35" s="105"/>
      <c r="C35" s="337" t="s">
        <v>41</v>
      </c>
      <c r="D35" s="337"/>
      <c r="E35" s="337"/>
      <c r="F35" s="338"/>
      <c r="G35" s="339"/>
      <c r="H35" s="339"/>
      <c r="I35" s="339"/>
      <c r="J35" s="339"/>
      <c r="K35" s="339"/>
      <c r="L35" s="340"/>
    </row>
    <row r="36" spans="2:17" ht="15" x14ac:dyDescent="0.25">
      <c r="B36" s="341"/>
      <c r="C36" s="342" t="s">
        <v>42</v>
      </c>
      <c r="D36" s="342"/>
      <c r="E36" s="342"/>
      <c r="F36" s="338"/>
      <c r="G36" s="339"/>
      <c r="H36" s="339"/>
      <c r="I36" s="339"/>
      <c r="J36" s="339"/>
      <c r="K36" s="339"/>
      <c r="L36" s="340"/>
    </row>
    <row r="37" spans="2:17" ht="29.25" customHeight="1" thickBot="1" x14ac:dyDescent="0.35">
      <c r="B37" s="626" t="s">
        <v>43</v>
      </c>
      <c r="C37" s="626"/>
      <c r="D37" s="626"/>
      <c r="E37" s="626"/>
      <c r="F37" s="626"/>
      <c r="G37" s="626"/>
      <c r="H37" s="626"/>
      <c r="I37" s="626"/>
      <c r="J37" s="626"/>
      <c r="K37" s="626"/>
      <c r="L37" s="626"/>
      <c r="M37" s="626"/>
      <c r="N37" s="626"/>
      <c r="O37" s="626"/>
      <c r="P37" s="626"/>
    </row>
    <row r="38" spans="2:17" ht="33" customHeight="1" thickTop="1" x14ac:dyDescent="0.25">
      <c r="B38" s="100" t="s">
        <v>44</v>
      </c>
      <c r="C38" s="102" t="s">
        <v>45</v>
      </c>
      <c r="D38" s="102"/>
      <c r="E38" s="102"/>
      <c r="F38" s="102"/>
      <c r="G38" s="102"/>
      <c r="H38" s="102"/>
      <c r="I38" s="102"/>
      <c r="J38" s="102"/>
      <c r="K38" s="102"/>
      <c r="L38" s="102"/>
      <c r="M38" s="102"/>
      <c r="N38" s="102"/>
      <c r="O38" s="23"/>
      <c r="P38" s="23"/>
      <c r="Q38" s="23"/>
    </row>
    <row r="39" spans="2:17" ht="15" x14ac:dyDescent="0.25">
      <c r="B39" s="100"/>
      <c r="C39" s="102" t="s">
        <v>46</v>
      </c>
      <c r="D39" s="102"/>
      <c r="E39" s="102"/>
      <c r="F39" s="102"/>
      <c r="G39" s="102"/>
      <c r="H39" s="102"/>
      <c r="I39" s="102"/>
      <c r="J39" s="102"/>
      <c r="K39" s="102"/>
      <c r="L39" s="102"/>
      <c r="M39" s="102"/>
      <c r="N39" s="102"/>
      <c r="O39" s="23"/>
      <c r="P39" s="23"/>
      <c r="Q39" s="23"/>
    </row>
    <row r="40" spans="2:17" ht="15" x14ac:dyDescent="0.25">
      <c r="B40" s="100"/>
      <c r="C40" s="102" t="s">
        <v>47</v>
      </c>
      <c r="D40" s="102"/>
      <c r="E40" s="102"/>
      <c r="F40" s="102"/>
      <c r="G40" s="102"/>
      <c r="H40" s="102"/>
      <c r="I40" s="102"/>
      <c r="J40" s="102"/>
      <c r="K40" s="102"/>
      <c r="L40" s="102"/>
      <c r="M40" s="102"/>
      <c r="N40" s="102"/>
      <c r="O40" s="23"/>
      <c r="P40" s="23"/>
      <c r="Q40" s="23"/>
    </row>
    <row r="41" spans="2:17" ht="15" x14ac:dyDescent="0.25">
      <c r="B41" s="100"/>
      <c r="C41" s="102" t="s">
        <v>48</v>
      </c>
      <c r="D41" s="102"/>
      <c r="E41" s="102"/>
      <c r="F41" s="102"/>
      <c r="G41" s="102"/>
      <c r="H41" s="102"/>
      <c r="I41" s="102"/>
      <c r="J41" s="102"/>
      <c r="K41" s="102"/>
      <c r="L41" s="102"/>
      <c r="M41" s="102"/>
      <c r="N41" s="102"/>
      <c r="O41" s="23"/>
      <c r="P41" s="23"/>
      <c r="Q41" s="23"/>
    </row>
    <row r="42" spans="2:17" ht="5.25" customHeight="1" x14ac:dyDescent="0.25">
      <c r="B42" s="100"/>
      <c r="C42" s="102"/>
      <c r="D42" s="102"/>
      <c r="E42" s="102"/>
      <c r="F42" s="102"/>
      <c r="G42" s="102"/>
      <c r="H42" s="102"/>
      <c r="I42" s="102"/>
      <c r="J42" s="102"/>
      <c r="K42" s="102"/>
      <c r="L42" s="102"/>
      <c r="M42" s="102"/>
      <c r="N42" s="102"/>
      <c r="O42" s="23"/>
      <c r="P42" s="23"/>
      <c r="Q42" s="23"/>
    </row>
    <row r="43" spans="2:17" ht="30" x14ac:dyDescent="0.25">
      <c r="B43" s="100" t="s">
        <v>49</v>
      </c>
      <c r="C43" s="103" t="s">
        <v>50</v>
      </c>
      <c r="D43" s="103"/>
      <c r="E43" s="103"/>
      <c r="F43" s="102"/>
      <c r="G43" s="102"/>
      <c r="H43" s="102"/>
      <c r="I43" s="102"/>
      <c r="J43" s="102"/>
      <c r="K43" s="102"/>
      <c r="L43" s="102"/>
      <c r="M43" s="102"/>
      <c r="N43" s="102"/>
      <c r="O43" s="23"/>
      <c r="P43" s="23"/>
      <c r="Q43" s="23"/>
    </row>
    <row r="44" spans="2:17" ht="15" x14ac:dyDescent="0.25">
      <c r="B44" s="98"/>
      <c r="C44" s="102" t="s">
        <v>51</v>
      </c>
      <c r="D44" s="102" t="s">
        <v>52</v>
      </c>
      <c r="E44" s="102"/>
      <c r="F44" s="102"/>
      <c r="G44" s="102"/>
      <c r="H44" s="102"/>
      <c r="I44" s="102"/>
      <c r="J44" s="102"/>
      <c r="K44" s="102"/>
      <c r="L44" s="102"/>
      <c r="M44" s="102"/>
      <c r="N44" s="102"/>
      <c r="O44" s="23"/>
      <c r="P44" s="23"/>
      <c r="Q44" s="23"/>
    </row>
    <row r="45" spans="2:17" ht="15" x14ac:dyDescent="0.25">
      <c r="B45" s="98"/>
      <c r="C45" s="102"/>
      <c r="D45" s="102" t="s">
        <v>53</v>
      </c>
      <c r="E45" s="102"/>
      <c r="F45" s="102"/>
      <c r="G45" s="102"/>
      <c r="H45" s="102"/>
      <c r="I45" s="102"/>
      <c r="J45" s="102"/>
      <c r="K45" s="102"/>
      <c r="L45" s="102"/>
      <c r="M45" s="102"/>
      <c r="N45" s="102"/>
      <c r="O45" s="23"/>
      <c r="P45" s="23"/>
      <c r="Q45" s="23"/>
    </row>
    <row r="46" spans="2:17" ht="15" x14ac:dyDescent="0.25">
      <c r="B46" s="98"/>
      <c r="C46" s="102"/>
      <c r="D46" s="102" t="s">
        <v>54</v>
      </c>
      <c r="E46" s="102"/>
      <c r="F46" s="102"/>
      <c r="G46" s="102"/>
      <c r="H46" s="102"/>
      <c r="I46" s="102"/>
      <c r="J46" s="102"/>
      <c r="K46" s="102"/>
      <c r="L46" s="102"/>
      <c r="M46" s="102"/>
      <c r="N46" s="102"/>
      <c r="O46" s="23"/>
      <c r="P46" s="23"/>
      <c r="Q46" s="23"/>
    </row>
    <row r="47" spans="2:17" ht="8.25" customHeight="1" x14ac:dyDescent="0.25">
      <c r="B47" s="98"/>
      <c r="C47" s="102"/>
      <c r="D47" s="102"/>
      <c r="E47" s="102"/>
      <c r="F47" s="102"/>
      <c r="G47" s="102"/>
      <c r="H47" s="102"/>
      <c r="I47" s="102"/>
      <c r="J47" s="102"/>
      <c r="K47" s="102"/>
      <c r="L47" s="102"/>
      <c r="M47" s="102"/>
      <c r="N47" s="102"/>
      <c r="O47" s="23"/>
      <c r="P47" s="23"/>
      <c r="Q47" s="23"/>
    </row>
    <row r="48" spans="2:17" ht="15" x14ac:dyDescent="0.25">
      <c r="B48" s="98"/>
      <c r="C48" s="102" t="s">
        <v>55</v>
      </c>
      <c r="D48" s="102" t="s">
        <v>56</v>
      </c>
      <c r="E48" s="102"/>
      <c r="F48" s="102"/>
      <c r="G48" s="102"/>
      <c r="H48" s="102"/>
      <c r="I48" s="102"/>
      <c r="J48" s="102"/>
      <c r="K48" s="102"/>
      <c r="L48" s="102"/>
      <c r="M48" s="102"/>
      <c r="N48" s="102"/>
      <c r="O48" s="23"/>
      <c r="P48" s="23"/>
      <c r="Q48" s="23"/>
    </row>
    <row r="49" spans="2:22" ht="15" x14ac:dyDescent="0.25">
      <c r="B49" s="98"/>
      <c r="C49" s="102"/>
      <c r="D49" s="102" t="s">
        <v>57</v>
      </c>
      <c r="E49" s="102"/>
      <c r="F49" s="102"/>
      <c r="G49" s="102"/>
      <c r="H49" s="102"/>
      <c r="I49" s="102"/>
      <c r="J49" s="102"/>
      <c r="K49" s="102"/>
      <c r="L49" s="102"/>
      <c r="M49" s="102"/>
      <c r="N49" s="102"/>
      <c r="O49" s="23"/>
      <c r="P49" s="23"/>
      <c r="Q49" s="23"/>
    </row>
    <row r="50" spans="2:22" ht="3.75" customHeight="1" x14ac:dyDescent="0.25">
      <c r="B50" s="98"/>
      <c r="C50" s="102"/>
      <c r="D50" s="102"/>
      <c r="E50" s="102"/>
      <c r="F50" s="102"/>
      <c r="G50" s="102"/>
      <c r="H50" s="102"/>
      <c r="I50" s="102"/>
      <c r="J50" s="102"/>
      <c r="K50" s="102"/>
      <c r="L50" s="102"/>
      <c r="M50" s="102"/>
      <c r="N50" s="102"/>
      <c r="O50" s="23"/>
      <c r="P50" s="23"/>
      <c r="Q50" s="23"/>
    </row>
    <row r="51" spans="2:22" ht="15" x14ac:dyDescent="0.25">
      <c r="B51" s="98"/>
      <c r="C51" s="104" t="s">
        <v>58</v>
      </c>
      <c r="D51" s="102" t="s">
        <v>59</v>
      </c>
      <c r="E51" s="102"/>
      <c r="F51" s="102"/>
      <c r="G51" s="102"/>
      <c r="H51" s="102"/>
      <c r="I51" s="102"/>
      <c r="J51" s="102"/>
      <c r="K51" s="102"/>
      <c r="L51" s="102"/>
      <c r="M51" s="102"/>
      <c r="N51" s="102"/>
      <c r="O51" s="23"/>
      <c r="P51" s="23"/>
      <c r="Q51" s="23"/>
    </row>
    <row r="52" spans="2:22" ht="15" x14ac:dyDescent="0.25">
      <c r="B52" s="98"/>
      <c r="C52" s="102"/>
      <c r="D52" s="102" t="s">
        <v>60</v>
      </c>
      <c r="E52" s="102"/>
      <c r="F52" s="102"/>
      <c r="G52" s="102"/>
      <c r="H52" s="102"/>
      <c r="I52" s="102"/>
      <c r="J52" s="102"/>
      <c r="K52" s="102"/>
      <c r="L52" s="102"/>
      <c r="M52" s="102"/>
      <c r="N52" s="102"/>
      <c r="O52" s="23"/>
      <c r="P52" s="23"/>
      <c r="Q52" s="23"/>
    </row>
    <row r="53" spans="2:22" ht="15" x14ac:dyDescent="0.25">
      <c r="B53" s="98"/>
      <c r="C53" s="102"/>
      <c r="D53" s="102" t="s">
        <v>61</v>
      </c>
      <c r="E53" s="102"/>
      <c r="F53" s="102"/>
      <c r="G53" s="102"/>
      <c r="H53" s="102"/>
      <c r="I53" s="102"/>
      <c r="J53" s="102"/>
      <c r="K53" s="102"/>
      <c r="L53" s="102"/>
      <c r="M53" s="102"/>
      <c r="N53" s="102"/>
      <c r="O53" s="23"/>
      <c r="P53" s="23"/>
      <c r="Q53" s="23"/>
    </row>
    <row r="54" spans="2:22" ht="15" x14ac:dyDescent="0.25">
      <c r="B54" s="100" t="s">
        <v>39</v>
      </c>
      <c r="C54" s="97" t="s">
        <v>62</v>
      </c>
      <c r="D54" s="97"/>
      <c r="E54" s="97"/>
      <c r="F54" s="97"/>
      <c r="G54" s="97"/>
      <c r="H54" s="97"/>
      <c r="I54" s="97"/>
      <c r="J54" s="97"/>
      <c r="K54" s="97"/>
      <c r="L54" s="97"/>
      <c r="M54" s="97"/>
      <c r="N54" s="97"/>
      <c r="O54" s="97"/>
      <c r="P54" s="97"/>
      <c r="Q54" s="97"/>
      <c r="R54" s="97"/>
      <c r="S54" s="97"/>
      <c r="T54" s="97"/>
      <c r="U54" s="97"/>
      <c r="V54" s="97"/>
    </row>
    <row r="55" spans="2:22" ht="15" x14ac:dyDescent="0.25">
      <c r="B55" s="100"/>
      <c r="D55" s="140" t="s">
        <v>63</v>
      </c>
      <c r="E55" s="140"/>
      <c r="F55" s="140"/>
      <c r="G55" s="140"/>
      <c r="H55" s="140"/>
      <c r="I55" s="140"/>
      <c r="J55" s="140"/>
      <c r="K55" s="140"/>
      <c r="L55" s="140"/>
      <c r="M55" s="140"/>
      <c r="N55" s="97"/>
      <c r="O55" s="97"/>
      <c r="P55" s="97"/>
      <c r="Q55" s="97"/>
      <c r="R55" s="97"/>
      <c r="S55" s="97"/>
      <c r="T55" s="97"/>
      <c r="U55" s="97"/>
      <c r="V55" s="97"/>
    </row>
    <row r="56" spans="2:22" ht="15" x14ac:dyDescent="0.25">
      <c r="D56" s="97" t="s">
        <v>42</v>
      </c>
      <c r="E56" s="97"/>
      <c r="F56" s="97"/>
      <c r="G56" s="97"/>
      <c r="H56" s="97"/>
      <c r="I56" s="97"/>
      <c r="J56" s="97"/>
      <c r="K56" s="97"/>
      <c r="L56" s="97"/>
      <c r="M56" s="97"/>
      <c r="N56" s="97"/>
      <c r="O56" s="97"/>
      <c r="P56" s="97"/>
      <c r="Q56" s="97"/>
      <c r="R56" s="97"/>
      <c r="S56" s="97"/>
      <c r="T56" s="97"/>
      <c r="U56" s="97"/>
      <c r="V56" s="97"/>
    </row>
    <row r="57" spans="2:22" ht="15" x14ac:dyDescent="0.25">
      <c r="C57" s="97"/>
      <c r="D57" s="97"/>
      <c r="E57" s="97"/>
      <c r="F57" s="97"/>
      <c r="G57" s="97"/>
      <c r="H57" s="97"/>
      <c r="I57" s="97"/>
      <c r="J57" s="97"/>
      <c r="K57" s="97"/>
      <c r="L57" s="97"/>
      <c r="M57" s="97"/>
      <c r="N57" s="97"/>
      <c r="O57" s="97"/>
      <c r="P57" s="97"/>
      <c r="Q57" s="97"/>
      <c r="R57" s="97"/>
      <c r="S57" s="97"/>
      <c r="T57" s="97"/>
      <c r="U57" s="97"/>
      <c r="V57" s="97"/>
    </row>
    <row r="58" spans="2:22" ht="31.5" customHeight="1" thickBot="1" x14ac:dyDescent="0.35">
      <c r="B58" s="626" t="s">
        <v>64</v>
      </c>
      <c r="C58" s="626"/>
      <c r="D58" s="626"/>
      <c r="E58" s="626"/>
      <c r="F58" s="626"/>
      <c r="G58" s="626"/>
      <c r="H58" s="626"/>
      <c r="I58" s="626"/>
      <c r="J58" s="626"/>
      <c r="K58" s="626"/>
      <c r="L58" s="626"/>
      <c r="M58" s="626"/>
      <c r="N58" s="626"/>
      <c r="O58" s="626"/>
      <c r="P58" s="626"/>
    </row>
    <row r="59" spans="2:22" ht="35.25" customHeight="1" thickTop="1" x14ac:dyDescent="0.25">
      <c r="B59" s="101" t="s">
        <v>65</v>
      </c>
      <c r="C59" s="120" t="s">
        <v>66</v>
      </c>
      <c r="D59" s="120"/>
      <c r="E59" s="120"/>
      <c r="F59" s="120"/>
      <c r="G59" s="120"/>
      <c r="H59" s="97"/>
      <c r="I59" s="97"/>
      <c r="J59" s="97"/>
      <c r="K59" s="97"/>
      <c r="L59" s="97"/>
    </row>
    <row r="60" spans="2:22" ht="18.75" customHeight="1" x14ac:dyDescent="0.25">
      <c r="C60" s="97" t="s">
        <v>67</v>
      </c>
      <c r="D60" s="97"/>
      <c r="E60" s="97"/>
      <c r="F60" s="97"/>
    </row>
    <row r="61" spans="2:22" ht="15" x14ac:dyDescent="0.25">
      <c r="C61" s="97" t="s">
        <v>68</v>
      </c>
      <c r="D61" s="97"/>
      <c r="E61" s="97"/>
      <c r="F61" s="97"/>
      <c r="G61" s="97"/>
      <c r="H61" s="97"/>
      <c r="I61" s="97"/>
      <c r="J61" s="97"/>
      <c r="K61" s="97"/>
      <c r="L61" s="97"/>
      <c r="M61" s="97"/>
      <c r="N61" s="97"/>
      <c r="O61" s="97"/>
      <c r="P61" s="97"/>
    </row>
    <row r="62" spans="2:22" ht="15" x14ac:dyDescent="0.25">
      <c r="C62" s="97"/>
      <c r="D62" s="97"/>
      <c r="E62" s="97"/>
      <c r="F62" s="97"/>
      <c r="G62" s="97"/>
      <c r="H62" s="97"/>
      <c r="I62" s="97"/>
      <c r="J62" s="97"/>
      <c r="K62" s="97"/>
      <c r="L62" s="97"/>
      <c r="M62" s="97"/>
      <c r="N62" s="97"/>
      <c r="O62" s="97"/>
      <c r="P62" s="97"/>
    </row>
    <row r="63" spans="2:22" ht="17.25" customHeight="1" x14ac:dyDescent="0.25">
      <c r="B63" s="101" t="s">
        <v>69</v>
      </c>
      <c r="C63" s="97" t="s">
        <v>70</v>
      </c>
      <c r="D63" s="97"/>
      <c r="E63" s="97"/>
      <c r="F63" s="97"/>
      <c r="G63" s="97"/>
      <c r="H63" s="97"/>
      <c r="I63" s="97"/>
      <c r="J63" s="97"/>
      <c r="K63" s="97"/>
      <c r="L63" s="97"/>
      <c r="M63" s="97"/>
    </row>
    <row r="64" spans="2:22" ht="17.25" customHeight="1" x14ac:dyDescent="0.25">
      <c r="B64" s="101"/>
      <c r="C64" s="97" t="s">
        <v>71</v>
      </c>
      <c r="D64" s="97"/>
      <c r="E64" s="97"/>
      <c r="F64" s="97"/>
      <c r="G64" s="97"/>
      <c r="H64" s="97"/>
      <c r="I64" s="97"/>
      <c r="J64" s="97"/>
      <c r="K64" s="97"/>
      <c r="L64" s="97"/>
      <c r="M64" s="97"/>
    </row>
    <row r="65" spans="2:13" ht="17.25" customHeight="1" x14ac:dyDescent="0.25">
      <c r="B65" s="101"/>
      <c r="C65" s="97" t="s">
        <v>72</v>
      </c>
      <c r="D65" s="97"/>
      <c r="E65" s="97"/>
      <c r="F65" s="97"/>
      <c r="G65" s="97"/>
      <c r="H65" s="97"/>
      <c r="I65" s="97"/>
      <c r="J65" s="97"/>
      <c r="K65" s="97"/>
      <c r="L65" s="97"/>
      <c r="M65" s="97"/>
    </row>
    <row r="66" spans="2:13" ht="17.25" customHeight="1" x14ac:dyDescent="0.25">
      <c r="B66" s="101"/>
      <c r="C66" s="97" t="s">
        <v>73</v>
      </c>
      <c r="D66" s="97"/>
      <c r="E66" s="97"/>
      <c r="F66" s="97"/>
      <c r="G66" s="97"/>
      <c r="H66" s="97"/>
      <c r="I66" s="97"/>
      <c r="J66" s="97"/>
      <c r="K66" s="97"/>
      <c r="L66" s="97"/>
      <c r="M66" s="97"/>
    </row>
    <row r="68" spans="2:13" ht="16.5" customHeight="1" thickBot="1" x14ac:dyDescent="0.3">
      <c r="C68" s="607" t="s">
        <v>74</v>
      </c>
      <c r="D68" s="607"/>
      <c r="E68" s="607"/>
      <c r="F68" s="607"/>
      <c r="G68" s="607"/>
    </row>
    <row r="69" spans="2:13" ht="24.75" customHeight="1" x14ac:dyDescent="0.2">
      <c r="C69" s="343" t="s">
        <v>75</v>
      </c>
      <c r="D69" s="627" t="s">
        <v>76</v>
      </c>
      <c r="E69" s="627"/>
      <c r="F69" s="628" t="s">
        <v>77</v>
      </c>
      <c r="G69" s="629"/>
    </row>
    <row r="70" spans="2:13" ht="21" customHeight="1" x14ac:dyDescent="0.25">
      <c r="C70" s="344">
        <v>0</v>
      </c>
      <c r="D70" s="619">
        <v>8.77</v>
      </c>
      <c r="E70" s="619"/>
      <c r="F70" s="622">
        <f>(C70*D70)</f>
        <v>0</v>
      </c>
      <c r="G70" s="622"/>
    </row>
    <row r="71" spans="2:13" ht="15" x14ac:dyDescent="0.25">
      <c r="C71" s="345"/>
      <c r="D71" s="346"/>
      <c r="E71" s="347"/>
      <c r="F71" s="347"/>
      <c r="G71" s="347"/>
    </row>
    <row r="72" spans="2:13" ht="26.25" customHeight="1" thickBot="1" x14ac:dyDescent="0.3">
      <c r="C72" s="607" t="s">
        <v>78</v>
      </c>
      <c r="D72" s="607"/>
      <c r="E72" s="607"/>
      <c r="F72" s="607"/>
      <c r="G72" s="607"/>
    </row>
    <row r="73" spans="2:13" ht="25.5" customHeight="1" x14ac:dyDescent="0.2">
      <c r="C73" s="343" t="s">
        <v>79</v>
      </c>
      <c r="D73" s="614" t="s">
        <v>80</v>
      </c>
      <c r="E73" s="615"/>
      <c r="F73" s="616" t="s">
        <v>77</v>
      </c>
      <c r="G73" s="616"/>
    </row>
    <row r="74" spans="2:13" ht="21" customHeight="1" x14ac:dyDescent="0.25">
      <c r="C74" s="348">
        <v>0</v>
      </c>
      <c r="D74" s="621">
        <v>1520</v>
      </c>
      <c r="E74" s="621"/>
      <c r="F74" s="622" cm="1">
        <f t="array" ref="F74">_xlfn.IFS(D74 = 1520, (C74/D74)*8.77, D74=2080, (C74/D74)*12, D74=560, (C74/D74)*3.23)</f>
        <v>0</v>
      </c>
      <c r="G74" s="622"/>
    </row>
    <row r="75" spans="2:13" ht="15.75" thickBot="1" x14ac:dyDescent="0.3">
      <c r="C75" s="345"/>
      <c r="D75" s="349"/>
      <c r="E75" s="347"/>
      <c r="F75" s="347"/>
      <c r="G75" s="347"/>
    </row>
    <row r="76" spans="2:13" ht="26.25" hidden="1" customHeight="1" outlineLevel="1" x14ac:dyDescent="0.25">
      <c r="C76" s="607" t="s">
        <v>81</v>
      </c>
      <c r="D76" s="607"/>
      <c r="E76" s="607"/>
      <c r="F76" s="607"/>
      <c r="G76" s="607"/>
    </row>
    <row r="77" spans="2:13" ht="26.25" hidden="1" customHeight="1" outlineLevel="1" x14ac:dyDescent="0.2">
      <c r="C77" s="343" t="s">
        <v>79</v>
      </c>
      <c r="D77" s="614" t="s">
        <v>82</v>
      </c>
      <c r="E77" s="615"/>
      <c r="F77" s="616" t="s">
        <v>77</v>
      </c>
      <c r="G77" s="616"/>
    </row>
    <row r="78" spans="2:13" ht="26.25" hidden="1" customHeight="1" outlineLevel="1" thickBot="1" x14ac:dyDescent="0.3">
      <c r="C78" s="348">
        <v>0</v>
      </c>
      <c r="D78" s="619">
        <v>38</v>
      </c>
      <c r="E78" s="619"/>
      <c r="F78" s="620" cm="1">
        <f t="array" ref="F78">_xlfn.IFS(D78 = 38, (C78/D78)*8.77, D78=52, (C78/D78)*12, D78=14, (C78/D78)*3.23)</f>
        <v>0</v>
      </c>
      <c r="G78" s="620"/>
    </row>
    <row r="79" spans="2:13" ht="16.5" hidden="1" customHeight="1" outlineLevel="1" x14ac:dyDescent="0.2">
      <c r="C79" s="19"/>
      <c r="D79" s="19"/>
      <c r="E79" s="19"/>
      <c r="F79" s="19"/>
      <c r="G79" s="19"/>
    </row>
    <row r="80" spans="2:13" ht="16.5" hidden="1" customHeight="1" outlineLevel="1" x14ac:dyDescent="0.25">
      <c r="C80" s="607" t="s">
        <v>83</v>
      </c>
      <c r="D80" s="607"/>
      <c r="E80" s="607"/>
      <c r="F80" s="607"/>
      <c r="G80" s="607"/>
    </row>
    <row r="81" spans="3:8" ht="24.75" hidden="1" outlineLevel="1" thickBot="1" x14ac:dyDescent="0.25">
      <c r="C81" s="343" t="s">
        <v>79</v>
      </c>
      <c r="D81" s="614" t="s">
        <v>84</v>
      </c>
      <c r="E81" s="615"/>
      <c r="F81" s="616" t="s">
        <v>77</v>
      </c>
      <c r="G81" s="616"/>
    </row>
    <row r="82" spans="3:8" ht="21" hidden="1" customHeight="1" outlineLevel="1" x14ac:dyDescent="0.2">
      <c r="C82" s="350">
        <v>0</v>
      </c>
      <c r="D82" s="617">
        <v>190</v>
      </c>
      <c r="E82" s="617"/>
      <c r="F82" s="618" cm="1">
        <f t="array" ref="F82">_xlfn.IFS(D82 = 190, (C82/D82)*8.77, D82=260, (C82/D82)*12, D82=70, (C82/D82)*3.23)</f>
        <v>0</v>
      </c>
      <c r="G82" s="618"/>
    </row>
    <row r="83" spans="3:8" ht="12" hidden="1" customHeight="1" outlineLevel="1" x14ac:dyDescent="0.2">
      <c r="C83" s="351"/>
      <c r="D83" s="351"/>
      <c r="E83" s="351"/>
      <c r="F83" s="351"/>
      <c r="G83" s="351"/>
    </row>
    <row r="84" spans="3:8" ht="16.5" hidden="1" outlineLevel="1" thickBot="1" x14ac:dyDescent="0.3">
      <c r="C84" s="607" t="s">
        <v>85</v>
      </c>
      <c r="D84" s="607"/>
      <c r="E84" s="607"/>
      <c r="F84" s="607"/>
      <c r="G84" s="607"/>
    </row>
    <row r="85" spans="3:8" ht="30" hidden="1" customHeight="1" outlineLevel="1" x14ac:dyDescent="0.2">
      <c r="C85" s="352" t="s">
        <v>75</v>
      </c>
      <c r="D85" s="352" t="s">
        <v>86</v>
      </c>
      <c r="E85" s="605" t="s">
        <v>76</v>
      </c>
      <c r="F85" s="605"/>
      <c r="G85" s="353" t="s">
        <v>87</v>
      </c>
    </row>
    <row r="86" spans="3:8" ht="21.75" hidden="1" customHeight="1" outlineLevel="1" x14ac:dyDescent="0.2">
      <c r="C86" s="354">
        <v>0</v>
      </c>
      <c r="D86" s="355">
        <v>0</v>
      </c>
      <c r="E86" s="606">
        <v>8.77</v>
      </c>
      <c r="F86" s="606"/>
      <c r="G86" s="356">
        <f>E86*D86*C86</f>
        <v>0</v>
      </c>
    </row>
    <row r="87" spans="3:8" ht="12" hidden="1" customHeight="1" outlineLevel="1" x14ac:dyDescent="0.2">
      <c r="C87" s="357"/>
      <c r="D87" s="358"/>
      <c r="E87" s="359"/>
      <c r="F87" s="359"/>
      <c r="G87" s="360"/>
    </row>
    <row r="88" spans="3:8" ht="21.75" hidden="1" customHeight="1" outlineLevel="1" x14ac:dyDescent="0.25">
      <c r="C88" s="607" t="s">
        <v>88</v>
      </c>
      <c r="D88" s="607"/>
      <c r="E88" s="607"/>
      <c r="F88" s="607"/>
      <c r="G88" s="607"/>
    </row>
    <row r="89" spans="3:8" ht="12.75" hidden="1" customHeight="1" outlineLevel="1" x14ac:dyDescent="0.2">
      <c r="C89" s="352" t="s">
        <v>89</v>
      </c>
      <c r="D89" s="352" t="s">
        <v>90</v>
      </c>
      <c r="E89" s="608" t="s">
        <v>91</v>
      </c>
      <c r="F89" s="609"/>
      <c r="G89" s="610"/>
    </row>
    <row r="90" spans="3:8" ht="30" hidden="1" customHeight="1" outlineLevel="1" x14ac:dyDescent="0.2">
      <c r="C90" s="361">
        <v>0</v>
      </c>
      <c r="D90" s="362">
        <v>8.77</v>
      </c>
      <c r="E90" s="611">
        <f>(C90/D90)*12</f>
        <v>0</v>
      </c>
      <c r="F90" s="612"/>
      <c r="G90" s="613"/>
    </row>
    <row r="91" spans="3:8" ht="30" hidden="1" customHeight="1" outlineLevel="1" x14ac:dyDescent="0.2">
      <c r="C91" s="363"/>
      <c r="D91" s="364"/>
      <c r="E91" s="365"/>
      <c r="F91" s="365"/>
      <c r="G91" s="365"/>
    </row>
    <row r="92" spans="3:8" ht="13.5" customHeight="1" collapsed="1" x14ac:dyDescent="0.25">
      <c r="C92" s="602" t="s">
        <v>92</v>
      </c>
      <c r="D92" s="603"/>
      <c r="E92" s="603"/>
      <c r="F92" s="603"/>
      <c r="G92" s="604"/>
    </row>
    <row r="93" spans="3:8" ht="15" x14ac:dyDescent="0.25">
      <c r="C93" s="115"/>
      <c r="D93" s="121" t="s">
        <v>93</v>
      </c>
      <c r="E93" s="366" t="s">
        <v>94</v>
      </c>
      <c r="F93" s="366" t="s">
        <v>95</v>
      </c>
      <c r="G93" s="122" t="s">
        <v>96</v>
      </c>
    </row>
    <row r="94" spans="3:8" ht="15" x14ac:dyDescent="0.25">
      <c r="C94" s="109" t="s">
        <v>97</v>
      </c>
      <c r="D94" s="110">
        <v>8.77</v>
      </c>
      <c r="E94" s="110">
        <v>38</v>
      </c>
      <c r="F94" s="110">
        <v>190</v>
      </c>
      <c r="G94" s="111">
        <v>1520</v>
      </c>
    </row>
    <row r="95" spans="3:8" ht="15" x14ac:dyDescent="0.25">
      <c r="C95" s="112" t="s">
        <v>98</v>
      </c>
      <c r="D95" s="113">
        <v>3.23</v>
      </c>
      <c r="E95" s="113">
        <v>14</v>
      </c>
      <c r="F95" s="113">
        <v>70</v>
      </c>
      <c r="G95" s="114">
        <v>560</v>
      </c>
      <c r="H95" s="367"/>
    </row>
    <row r="96" spans="3:8" ht="30.75" thickBot="1" x14ac:dyDescent="0.3">
      <c r="C96" s="116" t="s">
        <v>99</v>
      </c>
      <c r="D96" s="117">
        <v>12</v>
      </c>
      <c r="E96" s="117">
        <v>52</v>
      </c>
      <c r="F96" s="117">
        <v>260</v>
      </c>
      <c r="G96" s="118">
        <v>2080</v>
      </c>
      <c r="H96" s="152"/>
    </row>
    <row r="97" spans="3:8" ht="15" x14ac:dyDescent="0.25">
      <c r="C97" s="152"/>
      <c r="D97" s="149"/>
      <c r="E97" s="153"/>
      <c r="F97" s="154"/>
      <c r="G97" s="155"/>
      <c r="H97" s="155"/>
    </row>
    <row r="98" spans="3:8" ht="15" x14ac:dyDescent="0.25">
      <c r="C98" s="152"/>
      <c r="D98" s="149"/>
      <c r="E98" s="153"/>
      <c r="F98" s="154"/>
      <c r="G98" s="155"/>
      <c r="H98" s="155"/>
    </row>
    <row r="99" spans="3:8" ht="15" x14ac:dyDescent="0.25">
      <c r="C99" s="152"/>
      <c r="D99" s="149"/>
      <c r="E99" s="153"/>
      <c r="F99" s="154"/>
      <c r="G99" s="155"/>
      <c r="H99" s="155"/>
    </row>
    <row r="100" spans="3:8" ht="15" x14ac:dyDescent="0.25">
      <c r="C100" s="152"/>
      <c r="D100" s="149"/>
      <c r="E100" s="153"/>
      <c r="F100" s="154"/>
      <c r="G100" s="156"/>
      <c r="H100" s="157"/>
    </row>
    <row r="101" spans="3:8" ht="15" x14ac:dyDescent="0.25">
      <c r="C101" s="152"/>
      <c r="D101" s="149"/>
      <c r="E101" s="153"/>
      <c r="F101" s="154"/>
      <c r="G101" s="155"/>
      <c r="H101" s="157"/>
    </row>
  </sheetData>
  <mergeCells count="37">
    <mergeCell ref="B1:P3"/>
    <mergeCell ref="D70:E70"/>
    <mergeCell ref="F70:G70"/>
    <mergeCell ref="C72:G72"/>
    <mergeCell ref="B13:C13"/>
    <mergeCell ref="B15:C15"/>
    <mergeCell ref="B37:P37"/>
    <mergeCell ref="B58:P58"/>
    <mergeCell ref="C68:G68"/>
    <mergeCell ref="D69:E69"/>
    <mergeCell ref="F69:G69"/>
    <mergeCell ref="B5:C5"/>
    <mergeCell ref="B7:C7"/>
    <mergeCell ref="B11:C11"/>
    <mergeCell ref="B17:C17"/>
    <mergeCell ref="B21:P21"/>
    <mergeCell ref="D73:E73"/>
    <mergeCell ref="F73:G73"/>
    <mergeCell ref="D74:E74"/>
    <mergeCell ref="F74:G74"/>
    <mergeCell ref="C76:G76"/>
    <mergeCell ref="D77:E77"/>
    <mergeCell ref="F77:G77"/>
    <mergeCell ref="D78:E78"/>
    <mergeCell ref="F78:G78"/>
    <mergeCell ref="C80:G80"/>
    <mergeCell ref="D81:E81"/>
    <mergeCell ref="F81:G81"/>
    <mergeCell ref="D82:E82"/>
    <mergeCell ref="F82:G82"/>
    <mergeCell ref="C84:G84"/>
    <mergeCell ref="C92:G92"/>
    <mergeCell ref="E85:F85"/>
    <mergeCell ref="E86:F86"/>
    <mergeCell ref="C88:G88"/>
    <mergeCell ref="E89:G89"/>
    <mergeCell ref="E90:G90"/>
  </mergeCells>
  <dataValidations count="4">
    <dataValidation type="list" allowBlank="1" showInputMessage="1" showErrorMessage="1" sqref="D70:E70 E86:F87" xr:uid="{83C96D20-4EBA-40AD-8B81-DB7A31FC7503}">
      <formula1>"8.77, 3.23, 12"</formula1>
    </dataValidation>
    <dataValidation type="list" allowBlank="1" showInputMessage="1" showErrorMessage="1" sqref="D74:E74" xr:uid="{00E55ADD-B3CC-447C-AE18-11D3D2CF82F9}">
      <formula1>"1520, 560, 2080"</formula1>
    </dataValidation>
    <dataValidation type="list" allowBlank="1" showInputMessage="1" showErrorMessage="1" sqref="D78:E78" xr:uid="{34EFE1B8-6773-455F-BCFF-0117B53FBDA8}">
      <formula1>"38, 14, 52"</formula1>
    </dataValidation>
    <dataValidation type="list" allowBlank="1" showInputMessage="1" showErrorMessage="1" sqref="D82:E82" xr:uid="{55117C62-72FB-4454-8269-21473F69B740}">
      <formula1>"190, 70, 260"</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tint="0.39997558519241921"/>
    <pageSetUpPr fitToPage="1"/>
  </sheetPr>
  <dimension ref="A2:AR215"/>
  <sheetViews>
    <sheetView showGridLines="0" zoomScaleNormal="100" zoomScaleSheetLayoutView="50" workbookViewId="0">
      <selection activeCell="D8" sqref="D8"/>
    </sheetView>
  </sheetViews>
  <sheetFormatPr defaultColWidth="8.7109375" defaultRowHeight="25.5" customHeight="1" outlineLevelRow="1" outlineLevelCol="2" x14ac:dyDescent="0.2"/>
  <cols>
    <col min="1" max="1" width="1.85546875" style="19" customWidth="1"/>
    <col min="2" max="2" width="5.140625" style="19" customWidth="1"/>
    <col min="3" max="3" width="26.85546875" style="19" customWidth="1"/>
    <col min="4" max="4" width="21.85546875" style="19" bestFit="1" customWidth="1"/>
    <col min="5" max="5" width="19.5703125" style="19" customWidth="1"/>
    <col min="6" max="6" width="16" style="19" customWidth="1"/>
    <col min="7" max="7" width="13.28515625" style="19" customWidth="1"/>
    <col min="8" max="8" width="13.5703125" style="19" customWidth="1"/>
    <col min="9" max="9" width="13.140625" style="19" customWidth="1"/>
    <col min="10" max="10" width="12.42578125" style="19" customWidth="1"/>
    <col min="11" max="11" width="20.28515625" style="19" hidden="1" customWidth="1" outlineLevel="1"/>
    <col min="12" max="12" width="14.5703125" style="19" hidden="1" customWidth="1" outlineLevel="1"/>
    <col min="13" max="13" width="11.7109375" style="19" hidden="1" customWidth="1" outlineLevel="1"/>
    <col min="14" max="14" width="9.85546875" style="19" hidden="1" customWidth="1" outlineLevel="1"/>
    <col min="15" max="15" width="10.85546875" style="19" hidden="1" customWidth="1" outlineLevel="1"/>
    <col min="16" max="16" width="7.85546875" style="19" customWidth="1" collapsed="1"/>
    <col min="17" max="20" width="17.5703125" style="33" bestFit="1" customWidth="1"/>
    <col min="21" max="21" width="22.5703125" style="19" hidden="1" customWidth="1" outlineLevel="1"/>
    <col min="22" max="24" width="21.28515625" style="19" hidden="1" customWidth="1" outlineLevel="1"/>
    <col min="25" max="25" width="19" style="19" hidden="1" customWidth="1" outlineLevel="1"/>
    <col min="26" max="26" width="8.28515625" hidden="1" customWidth="1" outlineLevel="1"/>
    <col min="27" max="27" width="13.5703125" hidden="1" customWidth="1" outlineLevel="1"/>
    <col min="28" max="28" width="13.7109375" hidden="1" customWidth="1" outlineLevel="1"/>
    <col min="29" max="29" width="13.5703125" hidden="1" customWidth="1" outlineLevel="1"/>
    <col min="30" max="30" width="14" hidden="1" customWidth="1" outlineLevel="1"/>
    <col min="31" max="31" width="11" hidden="1" customWidth="1" outlineLevel="1"/>
    <col min="32" max="32" width="14.5703125" hidden="1" customWidth="1" outlineLevel="1"/>
    <col min="33" max="33" width="22" hidden="1" customWidth="1" outlineLevel="1"/>
    <col min="34" max="34" width="20.28515625" hidden="1" customWidth="1" outlineLevel="1"/>
    <col min="35" max="35" width="25.28515625" hidden="1" customWidth="1" outlineLevel="1"/>
    <col min="36" max="36" width="18" hidden="1" customWidth="1" outlineLevel="1"/>
    <col min="37" max="37" width="2.42578125" style="19" hidden="1" customWidth="1" outlineLevel="1"/>
    <col min="38" max="40" width="13.7109375" style="19" hidden="1" customWidth="1" outlineLevel="2"/>
    <col min="41" max="41" width="5.5703125" style="34" hidden="1" customWidth="1" outlineLevel="1" collapsed="1"/>
    <col min="42" max="42" width="46.140625" style="19" customWidth="1" collapsed="1"/>
    <col min="43" max="16384" width="8.7109375" style="19"/>
  </cols>
  <sheetData>
    <row r="2" spans="2:42" ht="41.25" customHeight="1" x14ac:dyDescent="0.4">
      <c r="B2" s="834" t="s">
        <v>100</v>
      </c>
      <c r="C2" s="834"/>
      <c r="D2" s="834"/>
      <c r="E2" s="834"/>
      <c r="G2" s="32">
        <v>0</v>
      </c>
      <c r="H2" s="32">
        <v>1</v>
      </c>
      <c r="I2" s="32">
        <v>2</v>
      </c>
      <c r="J2" s="32"/>
      <c r="K2" s="32"/>
      <c r="L2" s="32"/>
      <c r="M2" s="32"/>
      <c r="N2" s="32"/>
      <c r="O2" s="32"/>
      <c r="P2" s="32"/>
      <c r="AP2" s="258" t="s">
        <v>101</v>
      </c>
    </row>
    <row r="3" spans="2:42" ht="31.5" customHeight="1" x14ac:dyDescent="0.3">
      <c r="B3" s="836" t="s">
        <v>102</v>
      </c>
      <c r="C3" s="836"/>
      <c r="D3" s="837"/>
      <c r="E3" s="837"/>
      <c r="F3" s="837"/>
      <c r="G3" s="32"/>
      <c r="H3" s="32"/>
      <c r="I3" s="32"/>
      <c r="J3" s="32"/>
      <c r="K3" s="32"/>
      <c r="L3" s="32"/>
      <c r="M3" s="32"/>
      <c r="N3" s="32"/>
      <c r="O3" s="32"/>
      <c r="P3" s="32"/>
      <c r="V3" s="36"/>
    </row>
    <row r="4" spans="2:42" ht="31.5" customHeight="1" x14ac:dyDescent="0.3">
      <c r="B4" s="836" t="s">
        <v>103</v>
      </c>
      <c r="C4" s="836"/>
      <c r="D4" s="838"/>
      <c r="E4" s="838"/>
      <c r="F4" s="838"/>
      <c r="G4" s="32"/>
      <c r="H4" s="32"/>
      <c r="I4" s="32"/>
      <c r="J4" s="32"/>
      <c r="K4" s="32"/>
      <c r="L4" s="32"/>
      <c r="M4" s="32"/>
      <c r="N4" s="32"/>
      <c r="O4" s="32"/>
      <c r="P4" s="32"/>
      <c r="V4" s="36"/>
    </row>
    <row r="5" spans="2:42" ht="31.5" customHeight="1" x14ac:dyDescent="0.3">
      <c r="B5" s="836" t="s">
        <v>104</v>
      </c>
      <c r="C5" s="836"/>
      <c r="D5" s="368"/>
      <c r="E5" s="141" t="s">
        <v>105</v>
      </c>
      <c r="F5" s="368"/>
      <c r="G5" s="19">
        <f>DATEDIF(D5,F5+183,"Y")</f>
        <v>0</v>
      </c>
      <c r="H5" s="126" t="s">
        <v>106</v>
      </c>
      <c r="I5" s="32"/>
      <c r="J5" s="32"/>
      <c r="K5" s="32"/>
      <c r="L5" s="32"/>
      <c r="M5" s="32"/>
      <c r="N5" s="32"/>
      <c r="O5" s="32"/>
      <c r="P5" s="32"/>
      <c r="V5" s="36"/>
    </row>
    <row r="6" spans="2:42" ht="5.25" customHeight="1" x14ac:dyDescent="0.2"/>
    <row r="7" spans="2:42" ht="4.5" customHeight="1" thickBot="1" x14ac:dyDescent="0.3">
      <c r="B7" s="123"/>
      <c r="C7" s="123"/>
      <c r="D7" s="125"/>
      <c r="E7" s="125"/>
      <c r="F7" s="125"/>
      <c r="G7" s="32"/>
      <c r="H7" s="32"/>
      <c r="I7" s="32"/>
      <c r="J7" s="32"/>
      <c r="K7" s="32"/>
      <c r="L7" s="32"/>
      <c r="M7" s="32"/>
      <c r="N7" s="32"/>
      <c r="O7" s="32"/>
      <c r="P7" s="32"/>
      <c r="U7" s="35"/>
      <c r="V7" s="36"/>
    </row>
    <row r="8" spans="2:42" s="36" customFormat="1" ht="53.25" customHeight="1" thickTop="1" x14ac:dyDescent="0.25">
      <c r="B8" s="223"/>
      <c r="C8" s="224"/>
      <c r="D8" s="223"/>
      <c r="E8" s="224"/>
      <c r="F8" s="225"/>
      <c r="G8" s="223"/>
      <c r="H8" s="223"/>
      <c r="I8" s="223"/>
      <c r="J8" s="223"/>
      <c r="K8" s="223"/>
      <c r="L8" s="223"/>
      <c r="M8" s="223"/>
      <c r="N8" s="223"/>
      <c r="O8" s="223"/>
      <c r="P8" s="223"/>
      <c r="Q8" s="226" t="s">
        <v>107</v>
      </c>
      <c r="R8" s="226" t="s">
        <v>108</v>
      </c>
      <c r="S8" s="226" t="s">
        <v>109</v>
      </c>
      <c r="T8" s="227" t="s">
        <v>110</v>
      </c>
      <c r="U8" s="124" t="s">
        <v>111</v>
      </c>
      <c r="V8" s="229" t="s">
        <v>107</v>
      </c>
      <c r="W8" s="229" t="s">
        <v>108</v>
      </c>
      <c r="X8" s="230" t="s">
        <v>109</v>
      </c>
      <c r="Y8" s="231" t="s">
        <v>112</v>
      </c>
      <c r="Z8" s="232"/>
      <c r="AA8" s="232"/>
      <c r="AB8" s="232"/>
      <c r="AC8" s="232"/>
      <c r="AD8" s="232"/>
      <c r="AE8" s="232"/>
      <c r="AF8" s="232"/>
      <c r="AG8" s="232"/>
      <c r="AH8" s="232"/>
      <c r="AI8" s="232"/>
      <c r="AJ8" s="232"/>
      <c r="AK8" s="233"/>
      <c r="AL8" s="232"/>
      <c r="AM8" s="232"/>
      <c r="AN8" s="232"/>
      <c r="AO8" s="234"/>
    </row>
    <row r="9" spans="2:42" ht="55.5" customHeight="1" thickBot="1" x14ac:dyDescent="0.35">
      <c r="B9" s="665" t="s">
        <v>113</v>
      </c>
      <c r="C9" s="665"/>
      <c r="D9" s="665"/>
      <c r="E9" s="665"/>
      <c r="F9" s="665"/>
      <c r="G9" s="665"/>
      <c r="H9" s="665"/>
      <c r="I9" s="665"/>
      <c r="J9" s="477"/>
      <c r="K9" s="228"/>
      <c r="L9" s="228"/>
      <c r="M9" s="228"/>
      <c r="N9" s="228"/>
      <c r="O9" s="228"/>
      <c r="P9" s="228"/>
      <c r="Q9" s="821" t="s">
        <v>114</v>
      </c>
      <c r="R9" s="821"/>
      <c r="S9" s="821"/>
      <c r="T9" s="821"/>
      <c r="U9" s="237"/>
      <c r="V9" s="666" t="s">
        <v>115</v>
      </c>
      <c r="W9" s="666"/>
      <c r="X9" s="666"/>
      <c r="Y9" s="666"/>
      <c r="Z9" s="666"/>
      <c r="AA9" s="666"/>
      <c r="AB9" s="666"/>
      <c r="AC9" s="666"/>
      <c r="AD9" s="666"/>
      <c r="AE9" s="666"/>
      <c r="AF9" s="666"/>
      <c r="AG9" s="666"/>
      <c r="AH9" s="294"/>
      <c r="AI9" s="832" t="s">
        <v>114</v>
      </c>
      <c r="AJ9" s="832"/>
      <c r="AK9" s="832"/>
      <c r="AL9" s="832"/>
      <c r="AM9" s="832"/>
      <c r="AN9" s="832"/>
      <c r="AO9" s="832"/>
    </row>
    <row r="10" spans="2:42" ht="68.25" customHeight="1" thickTop="1" x14ac:dyDescent="0.25">
      <c r="B10" s="712" t="s">
        <v>116</v>
      </c>
      <c r="C10" s="712"/>
      <c r="D10" s="66" t="s">
        <v>117</v>
      </c>
      <c r="E10" s="72" t="s">
        <v>89</v>
      </c>
      <c r="F10" s="73" t="s">
        <v>118</v>
      </c>
      <c r="G10" s="74" t="s">
        <v>119</v>
      </c>
      <c r="H10" s="74" t="s">
        <v>120</v>
      </c>
      <c r="I10" s="72" t="s">
        <v>121</v>
      </c>
      <c r="J10" s="831" t="s">
        <v>122</v>
      </c>
      <c r="K10" s="831"/>
      <c r="L10" s="831"/>
      <c r="M10" s="831"/>
      <c r="N10" s="831"/>
      <c r="O10" s="831"/>
      <c r="P10" s="831"/>
      <c r="Q10" s="369" t="s">
        <v>123</v>
      </c>
      <c r="R10" s="369" t="s">
        <v>124</v>
      </c>
      <c r="S10" s="369" t="s">
        <v>125</v>
      </c>
      <c r="T10" s="370" t="s">
        <v>110</v>
      </c>
      <c r="U10" s="371"/>
      <c r="V10" s="67" t="s">
        <v>123</v>
      </c>
      <c r="W10" s="67" t="s">
        <v>124</v>
      </c>
      <c r="X10" s="372" t="s">
        <v>125</v>
      </c>
      <c r="Y10" s="373" t="s">
        <v>126</v>
      </c>
      <c r="Z10" s="374"/>
      <c r="AA10" s="71" t="s">
        <v>119</v>
      </c>
      <c r="AB10" s="71" t="s">
        <v>120</v>
      </c>
      <c r="AC10" s="71" t="s">
        <v>121</v>
      </c>
      <c r="AD10" s="825" t="s">
        <v>127</v>
      </c>
      <c r="AE10" s="825"/>
      <c r="AF10" s="713" t="s">
        <v>116</v>
      </c>
      <c r="AG10" s="713"/>
      <c r="AH10" s="66" t="s">
        <v>117</v>
      </c>
      <c r="AI10" s="72" t="s">
        <v>89</v>
      </c>
      <c r="AJ10" s="73" t="s">
        <v>118</v>
      </c>
      <c r="AO10" s="202"/>
    </row>
    <row r="11" spans="2:42" ht="25.5" customHeight="1" x14ac:dyDescent="0.25">
      <c r="B11" s="822"/>
      <c r="C11" s="822"/>
      <c r="D11" s="30" t="s">
        <v>128</v>
      </c>
      <c r="E11" s="259"/>
      <c r="F11" s="210">
        <v>8.77</v>
      </c>
      <c r="G11" s="260"/>
      <c r="H11" s="260"/>
      <c r="I11" s="501"/>
      <c r="J11" s="831"/>
      <c r="K11" s="831"/>
      <c r="L11" s="831"/>
      <c r="M11" s="831"/>
      <c r="N11" s="831"/>
      <c r="O11" s="831"/>
      <c r="P11" s="831"/>
      <c r="Q11" s="38">
        <f t="shared" ref="Q11:Q30" si="0">ROUND($E11/$F11*G11,0)</f>
        <v>0</v>
      </c>
      <c r="R11" s="38">
        <f t="shared" ref="R11:R30" si="1">ROUND($E11*1.03^H$2/$F11*H11,0)</f>
        <v>0</v>
      </c>
      <c r="S11" s="38">
        <f t="shared" ref="S11:S30" si="2">ROUND($E11*1.03^I$2/$F11*I11,0)</f>
        <v>0</v>
      </c>
      <c r="T11" s="81">
        <f t="shared" ref="T11:T30" si="3">SUM(Q11:S11)</f>
        <v>0</v>
      </c>
      <c r="U11" s="375">
        <f t="shared" ref="U11:U30" si="4">T11+$Y11</f>
        <v>0</v>
      </c>
      <c r="V11" s="241">
        <f t="shared" ref="V11:V30" si="5">ROUND($AI11/AJ11*AA11,0)</f>
        <v>0</v>
      </c>
      <c r="W11" s="241">
        <f t="shared" ref="W11:W30" si="6">ROUND(AI11*1.03^H$2/$AJ11*AB11,0)</f>
        <v>0</v>
      </c>
      <c r="X11" s="241">
        <f t="shared" ref="X11:X30" si="7">ROUND($AI11*1.03^I$2/$AJ11*AC11,0)</f>
        <v>0</v>
      </c>
      <c r="Y11" s="242">
        <f t="shared" ref="Y11:Y30" si="8">SUM(V11:X11)</f>
        <v>0</v>
      </c>
      <c r="Z11" s="184"/>
      <c r="AA11" s="261"/>
      <c r="AB11" s="261"/>
      <c r="AC11" s="262"/>
      <c r="AD11" s="826"/>
      <c r="AE11" s="826"/>
      <c r="AF11" s="816"/>
      <c r="AG11" s="817"/>
      <c r="AH11" s="376" t="s">
        <v>128</v>
      </c>
      <c r="AI11" s="377"/>
      <c r="AJ11" s="378">
        <v>8.77</v>
      </c>
      <c r="AO11" s="159"/>
    </row>
    <row r="12" spans="2:42" ht="25.5" customHeight="1" thickBot="1" x14ac:dyDescent="0.3">
      <c r="B12" s="822"/>
      <c r="C12" s="822"/>
      <c r="D12" s="30" t="s">
        <v>129</v>
      </c>
      <c r="E12" s="259"/>
      <c r="F12" s="210">
        <v>8.77</v>
      </c>
      <c r="G12" s="260"/>
      <c r="H12" s="260"/>
      <c r="I12" s="501"/>
      <c r="J12" s="479"/>
      <c r="K12" s="607" t="s">
        <v>74</v>
      </c>
      <c r="L12" s="607"/>
      <c r="M12" s="607"/>
      <c r="N12" s="607"/>
      <c r="O12" s="607"/>
      <c r="P12" s="351"/>
      <c r="Q12" s="38">
        <f t="shared" si="0"/>
        <v>0</v>
      </c>
      <c r="R12" s="38">
        <f t="shared" si="1"/>
        <v>0</v>
      </c>
      <c r="S12" s="38">
        <f t="shared" si="2"/>
        <v>0</v>
      </c>
      <c r="T12" s="81">
        <f t="shared" si="3"/>
        <v>0</v>
      </c>
      <c r="U12" s="379">
        <f t="shared" si="4"/>
        <v>0</v>
      </c>
      <c r="V12" s="241">
        <f t="shared" si="5"/>
        <v>0</v>
      </c>
      <c r="W12" s="241">
        <f t="shared" si="6"/>
        <v>0</v>
      </c>
      <c r="X12" s="241">
        <f t="shared" si="7"/>
        <v>0</v>
      </c>
      <c r="Y12" s="242">
        <f t="shared" si="8"/>
        <v>0</v>
      </c>
      <c r="Z12" s="184"/>
      <c r="AA12" s="261"/>
      <c r="AB12" s="261"/>
      <c r="AC12" s="262"/>
      <c r="AD12" s="826"/>
      <c r="AE12" s="826"/>
      <c r="AF12" s="816"/>
      <c r="AG12" s="817"/>
      <c r="AH12" s="376" t="s">
        <v>129</v>
      </c>
      <c r="AI12" s="377"/>
      <c r="AJ12" s="378">
        <v>8.77</v>
      </c>
      <c r="AO12" s="159"/>
    </row>
    <row r="13" spans="2:42" ht="25.5" customHeight="1" x14ac:dyDescent="0.25">
      <c r="B13" s="835"/>
      <c r="C13" s="822"/>
      <c r="D13" s="590" t="s">
        <v>129</v>
      </c>
      <c r="E13" s="259"/>
      <c r="F13" s="210">
        <v>8.77</v>
      </c>
      <c r="G13" s="260"/>
      <c r="H13" s="260"/>
      <c r="I13" s="501"/>
      <c r="J13" s="479"/>
      <c r="K13" s="343" t="s">
        <v>75</v>
      </c>
      <c r="L13" s="627" t="s">
        <v>76</v>
      </c>
      <c r="M13" s="627"/>
      <c r="N13" s="628" t="s">
        <v>77</v>
      </c>
      <c r="O13" s="629"/>
      <c r="P13" s="351"/>
      <c r="Q13" s="38">
        <f t="shared" si="0"/>
        <v>0</v>
      </c>
      <c r="R13" s="38">
        <f t="shared" si="1"/>
        <v>0</v>
      </c>
      <c r="S13" s="38">
        <f t="shared" si="2"/>
        <v>0</v>
      </c>
      <c r="T13" s="81">
        <f t="shared" si="3"/>
        <v>0</v>
      </c>
      <c r="U13" s="379">
        <f t="shared" si="4"/>
        <v>0</v>
      </c>
      <c r="V13" s="241">
        <f t="shared" si="5"/>
        <v>0</v>
      </c>
      <c r="W13" s="241">
        <f t="shared" si="6"/>
        <v>0</v>
      </c>
      <c r="X13" s="241">
        <f t="shared" si="7"/>
        <v>0</v>
      </c>
      <c r="Y13" s="242">
        <f t="shared" si="8"/>
        <v>0</v>
      </c>
      <c r="Z13" s="184"/>
      <c r="AA13" s="261"/>
      <c r="AB13" s="261"/>
      <c r="AC13" s="262"/>
      <c r="AD13" s="826"/>
      <c r="AE13" s="826"/>
      <c r="AF13" s="816"/>
      <c r="AG13" s="817"/>
      <c r="AH13" s="579" t="s">
        <v>129</v>
      </c>
      <c r="AI13" s="377"/>
      <c r="AJ13" s="378">
        <v>8.77</v>
      </c>
      <c r="AO13" s="159"/>
    </row>
    <row r="14" spans="2:42" ht="25.5" customHeight="1" x14ac:dyDescent="0.25">
      <c r="B14" s="816"/>
      <c r="C14" s="817"/>
      <c r="D14" s="590" t="s">
        <v>129</v>
      </c>
      <c r="E14" s="259"/>
      <c r="F14" s="210">
        <v>8.77</v>
      </c>
      <c r="G14" s="260"/>
      <c r="H14" s="260"/>
      <c r="I14" s="501"/>
      <c r="J14" s="479"/>
      <c r="K14" s="344">
        <v>0</v>
      </c>
      <c r="L14" s="619">
        <v>8.77</v>
      </c>
      <c r="M14" s="619"/>
      <c r="N14" s="622">
        <f>(K14*L14)</f>
        <v>0</v>
      </c>
      <c r="O14" s="622"/>
      <c r="P14" s="351"/>
      <c r="Q14" s="38">
        <f t="shared" si="0"/>
        <v>0</v>
      </c>
      <c r="R14" s="38">
        <f t="shared" si="1"/>
        <v>0</v>
      </c>
      <c r="S14" s="38">
        <f t="shared" si="2"/>
        <v>0</v>
      </c>
      <c r="T14" s="81">
        <f t="shared" si="3"/>
        <v>0</v>
      </c>
      <c r="U14" s="379">
        <f t="shared" si="4"/>
        <v>0</v>
      </c>
      <c r="V14" s="241">
        <f t="shared" si="5"/>
        <v>0</v>
      </c>
      <c r="W14" s="241">
        <f t="shared" si="6"/>
        <v>0</v>
      </c>
      <c r="X14" s="241">
        <f t="shared" si="7"/>
        <v>0</v>
      </c>
      <c r="Y14" s="242">
        <f t="shared" si="8"/>
        <v>0</v>
      </c>
      <c r="Z14" s="184"/>
      <c r="AA14" s="261"/>
      <c r="AB14" s="261"/>
      <c r="AC14" s="262"/>
      <c r="AD14" s="826"/>
      <c r="AE14" s="826"/>
      <c r="AF14" s="816"/>
      <c r="AG14" s="817"/>
      <c r="AH14" s="579" t="s">
        <v>130</v>
      </c>
      <c r="AI14" s="377"/>
      <c r="AJ14" s="378">
        <v>8.77</v>
      </c>
      <c r="AO14" s="159"/>
    </row>
    <row r="15" spans="2:42" ht="25.5" customHeight="1" x14ac:dyDescent="0.25">
      <c r="B15" s="816"/>
      <c r="C15" s="817"/>
      <c r="D15" s="590" t="s">
        <v>129</v>
      </c>
      <c r="E15" s="259"/>
      <c r="F15" s="210">
        <v>8.77</v>
      </c>
      <c r="G15" s="260"/>
      <c r="H15" s="260"/>
      <c r="I15" s="501"/>
      <c r="J15" s="479"/>
      <c r="K15" s="345"/>
      <c r="L15" s="346"/>
      <c r="M15" s="347"/>
      <c r="N15" s="347"/>
      <c r="O15" s="347"/>
      <c r="Q15" s="38">
        <f t="shared" si="0"/>
        <v>0</v>
      </c>
      <c r="R15" s="38">
        <f t="shared" si="1"/>
        <v>0</v>
      </c>
      <c r="S15" s="38">
        <f t="shared" si="2"/>
        <v>0</v>
      </c>
      <c r="T15" s="81">
        <f t="shared" si="3"/>
        <v>0</v>
      </c>
      <c r="U15" s="379">
        <f t="shared" si="4"/>
        <v>0</v>
      </c>
      <c r="V15" s="241">
        <f t="shared" si="5"/>
        <v>0</v>
      </c>
      <c r="W15" s="241">
        <f t="shared" si="6"/>
        <v>0</v>
      </c>
      <c r="X15" s="241">
        <f t="shared" si="7"/>
        <v>0</v>
      </c>
      <c r="Y15" s="242">
        <f t="shared" si="8"/>
        <v>0</v>
      </c>
      <c r="Z15" s="184"/>
      <c r="AA15" s="261"/>
      <c r="AB15" s="261"/>
      <c r="AC15" s="262"/>
      <c r="AD15" s="826"/>
      <c r="AE15" s="826"/>
      <c r="AF15" s="816"/>
      <c r="AG15" s="817"/>
      <c r="AH15" s="579" t="s">
        <v>130</v>
      </c>
      <c r="AI15" s="377"/>
      <c r="AJ15" s="378">
        <v>8.77</v>
      </c>
      <c r="AO15" s="159"/>
    </row>
    <row r="16" spans="2:42" ht="25.5" customHeight="1" thickBot="1" x14ac:dyDescent="0.3">
      <c r="B16" s="816"/>
      <c r="C16" s="817"/>
      <c r="D16" s="590" t="s">
        <v>130</v>
      </c>
      <c r="E16" s="259"/>
      <c r="F16" s="210">
        <v>8.77</v>
      </c>
      <c r="G16" s="260"/>
      <c r="H16" s="260"/>
      <c r="I16" s="501"/>
      <c r="J16" s="479"/>
      <c r="K16" s="607" t="s">
        <v>78</v>
      </c>
      <c r="L16" s="607"/>
      <c r="M16" s="607"/>
      <c r="N16" s="607"/>
      <c r="O16" s="607"/>
      <c r="P16" s="351"/>
      <c r="Q16" s="38">
        <f t="shared" si="0"/>
        <v>0</v>
      </c>
      <c r="R16" s="38">
        <f t="shared" si="1"/>
        <v>0</v>
      </c>
      <c r="S16" s="38">
        <f t="shared" si="2"/>
        <v>0</v>
      </c>
      <c r="T16" s="81">
        <f t="shared" si="3"/>
        <v>0</v>
      </c>
      <c r="U16" s="379">
        <f t="shared" si="4"/>
        <v>0</v>
      </c>
      <c r="V16" s="241">
        <f t="shared" si="5"/>
        <v>0</v>
      </c>
      <c r="W16" s="241">
        <f t="shared" si="6"/>
        <v>0</v>
      </c>
      <c r="X16" s="241">
        <f t="shared" si="7"/>
        <v>0</v>
      </c>
      <c r="Y16" s="242">
        <f t="shared" si="8"/>
        <v>0</v>
      </c>
      <c r="Z16" s="184"/>
      <c r="AA16" s="261"/>
      <c r="AB16" s="261"/>
      <c r="AC16" s="262"/>
      <c r="AD16" s="826"/>
      <c r="AE16" s="826"/>
      <c r="AF16" s="816"/>
      <c r="AG16" s="817"/>
      <c r="AH16" s="579" t="s">
        <v>130</v>
      </c>
      <c r="AI16" s="377"/>
      <c r="AJ16" s="378">
        <v>8.77</v>
      </c>
      <c r="AO16" s="159"/>
    </row>
    <row r="17" spans="2:42" ht="25.5" customHeight="1" x14ac:dyDescent="0.25">
      <c r="B17" s="816"/>
      <c r="C17" s="817"/>
      <c r="D17" s="590" t="s">
        <v>130</v>
      </c>
      <c r="E17" s="259"/>
      <c r="F17" s="210">
        <v>8.77</v>
      </c>
      <c r="G17" s="260"/>
      <c r="H17" s="260"/>
      <c r="I17" s="501"/>
      <c r="J17" s="479"/>
      <c r="K17" s="343" t="s">
        <v>79</v>
      </c>
      <c r="L17" s="614" t="s">
        <v>80</v>
      </c>
      <c r="M17" s="615"/>
      <c r="N17" s="616" t="s">
        <v>77</v>
      </c>
      <c r="O17" s="616"/>
      <c r="P17" s="351"/>
      <c r="Q17" s="38">
        <f t="shared" si="0"/>
        <v>0</v>
      </c>
      <c r="R17" s="38">
        <f t="shared" si="1"/>
        <v>0</v>
      </c>
      <c r="S17" s="38">
        <f t="shared" si="2"/>
        <v>0</v>
      </c>
      <c r="T17" s="81">
        <f t="shared" si="3"/>
        <v>0</v>
      </c>
      <c r="U17" s="379">
        <f t="shared" si="4"/>
        <v>0</v>
      </c>
      <c r="V17" s="241">
        <f t="shared" si="5"/>
        <v>0</v>
      </c>
      <c r="W17" s="241">
        <f t="shared" si="6"/>
        <v>0</v>
      </c>
      <c r="X17" s="241">
        <f t="shared" si="7"/>
        <v>0</v>
      </c>
      <c r="Y17" s="242">
        <f t="shared" si="8"/>
        <v>0</v>
      </c>
      <c r="Z17" s="184"/>
      <c r="AA17" s="261"/>
      <c r="AB17" s="261"/>
      <c r="AC17" s="262"/>
      <c r="AD17" s="826"/>
      <c r="AE17" s="826"/>
      <c r="AF17" s="816"/>
      <c r="AG17" s="817"/>
      <c r="AH17" s="579" t="s">
        <v>130</v>
      </c>
      <c r="AI17" s="377"/>
      <c r="AJ17" s="378">
        <v>8.77</v>
      </c>
      <c r="AO17" s="159"/>
    </row>
    <row r="18" spans="2:42" ht="25.5" customHeight="1" x14ac:dyDescent="0.25">
      <c r="B18" s="816"/>
      <c r="C18" s="817"/>
      <c r="D18" s="590" t="s">
        <v>130</v>
      </c>
      <c r="E18" s="259"/>
      <c r="F18" s="210">
        <v>8.77</v>
      </c>
      <c r="G18" s="260"/>
      <c r="H18" s="260"/>
      <c r="I18" s="501"/>
      <c r="J18" s="479"/>
      <c r="K18" s="348">
        <v>0</v>
      </c>
      <c r="L18" s="621">
        <v>1520</v>
      </c>
      <c r="M18" s="621"/>
      <c r="N18" s="622" cm="1">
        <f t="array" ref="N18">_xlfn.IFS(L18 = 1520, (K18/L18)*8.77, L18=2080, (K18/L18)*12, L18=560, (K18/L18)*3.23)</f>
        <v>0</v>
      </c>
      <c r="O18" s="622"/>
      <c r="P18" s="351"/>
      <c r="Q18" s="38">
        <f t="shared" si="0"/>
        <v>0</v>
      </c>
      <c r="R18" s="38">
        <f t="shared" si="1"/>
        <v>0</v>
      </c>
      <c r="S18" s="38">
        <f t="shared" si="2"/>
        <v>0</v>
      </c>
      <c r="T18" s="81">
        <f t="shared" si="3"/>
        <v>0</v>
      </c>
      <c r="U18" s="379">
        <f t="shared" si="4"/>
        <v>0</v>
      </c>
      <c r="V18" s="241">
        <f t="shared" si="5"/>
        <v>0</v>
      </c>
      <c r="W18" s="241">
        <f t="shared" si="6"/>
        <v>0</v>
      </c>
      <c r="X18" s="241">
        <f t="shared" si="7"/>
        <v>0</v>
      </c>
      <c r="Y18" s="242">
        <f t="shared" si="8"/>
        <v>0</v>
      </c>
      <c r="Z18" s="184"/>
      <c r="AA18" s="261"/>
      <c r="AB18" s="261"/>
      <c r="AC18" s="262"/>
      <c r="AD18" s="826"/>
      <c r="AE18" s="826"/>
      <c r="AF18" s="816"/>
      <c r="AG18" s="817"/>
      <c r="AH18" s="579" t="s">
        <v>130</v>
      </c>
      <c r="AI18" s="377"/>
      <c r="AJ18" s="378">
        <v>8.77</v>
      </c>
      <c r="AO18" s="159"/>
    </row>
    <row r="19" spans="2:42" ht="25.5" customHeight="1" x14ac:dyDescent="0.25">
      <c r="B19" s="816"/>
      <c r="C19" s="817"/>
      <c r="D19" s="590" t="s">
        <v>130</v>
      </c>
      <c r="E19" s="259"/>
      <c r="F19" s="210">
        <v>8.77</v>
      </c>
      <c r="G19" s="260"/>
      <c r="H19" s="260"/>
      <c r="I19" s="501"/>
      <c r="J19" s="479"/>
      <c r="K19" s="345"/>
      <c r="L19" s="349"/>
      <c r="M19" s="347"/>
      <c r="N19" s="347"/>
      <c r="O19" s="347"/>
      <c r="P19" s="351"/>
      <c r="Q19" s="38">
        <f t="shared" si="0"/>
        <v>0</v>
      </c>
      <c r="R19" s="38">
        <f t="shared" si="1"/>
        <v>0</v>
      </c>
      <c r="S19" s="38">
        <f t="shared" si="2"/>
        <v>0</v>
      </c>
      <c r="T19" s="81">
        <f t="shared" si="3"/>
        <v>0</v>
      </c>
      <c r="U19" s="379">
        <f t="shared" si="4"/>
        <v>0</v>
      </c>
      <c r="V19" s="241">
        <f t="shared" si="5"/>
        <v>0</v>
      </c>
      <c r="W19" s="241">
        <f t="shared" si="6"/>
        <v>0</v>
      </c>
      <c r="X19" s="241">
        <f t="shared" si="7"/>
        <v>0</v>
      </c>
      <c r="Y19" s="242">
        <f t="shared" si="8"/>
        <v>0</v>
      </c>
      <c r="Z19" s="184"/>
      <c r="AA19" s="261"/>
      <c r="AB19" s="261"/>
      <c r="AC19" s="262"/>
      <c r="AD19" s="826"/>
      <c r="AE19" s="826"/>
      <c r="AF19" s="816"/>
      <c r="AG19" s="817"/>
      <c r="AH19" s="579" t="s">
        <v>130</v>
      </c>
      <c r="AI19" s="377"/>
      <c r="AJ19" s="378">
        <v>8.77</v>
      </c>
      <c r="AO19" s="159"/>
    </row>
    <row r="20" spans="2:42" ht="25.5" customHeight="1" thickBot="1" x14ac:dyDescent="0.3">
      <c r="B20" s="816"/>
      <c r="C20" s="817"/>
      <c r="D20" s="590" t="s">
        <v>130</v>
      </c>
      <c r="E20" s="259"/>
      <c r="F20" s="210">
        <v>8.77</v>
      </c>
      <c r="G20" s="260"/>
      <c r="H20" s="260"/>
      <c r="I20" s="501"/>
      <c r="J20" s="479"/>
      <c r="K20" s="607" t="s">
        <v>81</v>
      </c>
      <c r="L20" s="607"/>
      <c r="M20" s="607"/>
      <c r="N20" s="607"/>
      <c r="O20" s="607"/>
      <c r="P20" s="351"/>
      <c r="Q20" s="38">
        <f t="shared" si="0"/>
        <v>0</v>
      </c>
      <c r="R20" s="38">
        <f t="shared" si="1"/>
        <v>0</v>
      </c>
      <c r="S20" s="38">
        <f t="shared" si="2"/>
        <v>0</v>
      </c>
      <c r="T20" s="81">
        <f t="shared" si="3"/>
        <v>0</v>
      </c>
      <c r="U20" s="379">
        <f t="shared" si="4"/>
        <v>0</v>
      </c>
      <c r="V20" s="241">
        <f t="shared" si="5"/>
        <v>0</v>
      </c>
      <c r="W20" s="241">
        <f t="shared" si="6"/>
        <v>0</v>
      </c>
      <c r="X20" s="241">
        <f t="shared" si="7"/>
        <v>0</v>
      </c>
      <c r="Y20" s="242">
        <f t="shared" si="8"/>
        <v>0</v>
      </c>
      <c r="Z20" s="184"/>
      <c r="AA20" s="261"/>
      <c r="AB20" s="261"/>
      <c r="AC20" s="262"/>
      <c r="AD20" s="826"/>
      <c r="AE20" s="826"/>
      <c r="AF20" s="816"/>
      <c r="AG20" s="817"/>
      <c r="AH20" s="579" t="s">
        <v>130</v>
      </c>
      <c r="AI20" s="377"/>
      <c r="AJ20" s="378">
        <v>8.77</v>
      </c>
      <c r="AO20" s="159"/>
    </row>
    <row r="21" spans="2:42" ht="25.5" hidden="1" customHeight="1" outlineLevel="1" x14ac:dyDescent="0.25">
      <c r="B21" s="816"/>
      <c r="C21" s="817"/>
      <c r="D21" s="590" t="s">
        <v>130</v>
      </c>
      <c r="E21" s="259"/>
      <c r="F21" s="210">
        <v>8.77</v>
      </c>
      <c r="G21" s="260"/>
      <c r="H21" s="260"/>
      <c r="I21" s="501"/>
      <c r="J21" s="479"/>
      <c r="K21" s="343" t="s">
        <v>79</v>
      </c>
      <c r="L21" s="614" t="s">
        <v>82</v>
      </c>
      <c r="M21" s="615"/>
      <c r="N21" s="616" t="s">
        <v>77</v>
      </c>
      <c r="O21" s="616"/>
      <c r="P21" s="351"/>
      <c r="Q21" s="38">
        <f t="shared" si="0"/>
        <v>0</v>
      </c>
      <c r="R21" s="38">
        <f t="shared" si="1"/>
        <v>0</v>
      </c>
      <c r="S21" s="38">
        <f t="shared" si="2"/>
        <v>0</v>
      </c>
      <c r="T21" s="81">
        <f t="shared" si="3"/>
        <v>0</v>
      </c>
      <c r="U21" s="379">
        <f t="shared" si="4"/>
        <v>0</v>
      </c>
      <c r="V21" s="241">
        <f t="shared" si="5"/>
        <v>0</v>
      </c>
      <c r="W21" s="241">
        <f t="shared" si="6"/>
        <v>0</v>
      </c>
      <c r="X21" s="241">
        <f t="shared" si="7"/>
        <v>0</v>
      </c>
      <c r="Y21" s="242">
        <f t="shared" si="8"/>
        <v>0</v>
      </c>
      <c r="Z21" s="184"/>
      <c r="AA21" s="261"/>
      <c r="AB21" s="261"/>
      <c r="AC21" s="262"/>
      <c r="AD21" s="826"/>
      <c r="AE21" s="826"/>
      <c r="AF21" s="816"/>
      <c r="AG21" s="817"/>
      <c r="AH21" s="579" t="s">
        <v>130</v>
      </c>
      <c r="AI21" s="377"/>
      <c r="AJ21" s="378">
        <v>8.77</v>
      </c>
      <c r="AO21" s="159"/>
    </row>
    <row r="22" spans="2:42" ht="25.5" hidden="1" customHeight="1" outlineLevel="1" x14ac:dyDescent="0.25">
      <c r="B22" s="816"/>
      <c r="C22" s="817"/>
      <c r="D22" s="590" t="s">
        <v>130</v>
      </c>
      <c r="E22" s="259"/>
      <c r="F22" s="210">
        <v>8.77</v>
      </c>
      <c r="G22" s="260"/>
      <c r="H22" s="260"/>
      <c r="I22" s="501"/>
      <c r="J22" s="479"/>
      <c r="K22" s="348">
        <v>0</v>
      </c>
      <c r="L22" s="619">
        <v>38</v>
      </c>
      <c r="M22" s="619"/>
      <c r="N22" s="620" cm="1">
        <f t="array" ref="N22">_xlfn.IFS(L22 = 38, (K22/L22)*8.77, L22=52, (K22/L22)*12, L22=14, (K22/L22)*3.23)</f>
        <v>0</v>
      </c>
      <c r="O22" s="620"/>
      <c r="P22" s="351"/>
      <c r="Q22" s="38">
        <f t="shared" si="0"/>
        <v>0</v>
      </c>
      <c r="R22" s="38">
        <f t="shared" si="1"/>
        <v>0</v>
      </c>
      <c r="S22" s="38">
        <f t="shared" si="2"/>
        <v>0</v>
      </c>
      <c r="T22" s="81">
        <f t="shared" si="3"/>
        <v>0</v>
      </c>
      <c r="U22" s="379">
        <f t="shared" si="4"/>
        <v>0</v>
      </c>
      <c r="V22" s="241">
        <f t="shared" si="5"/>
        <v>0</v>
      </c>
      <c r="W22" s="241">
        <f t="shared" si="6"/>
        <v>0</v>
      </c>
      <c r="X22" s="241">
        <f t="shared" si="7"/>
        <v>0</v>
      </c>
      <c r="Y22" s="242">
        <f t="shared" si="8"/>
        <v>0</v>
      </c>
      <c r="Z22" s="184"/>
      <c r="AA22" s="261"/>
      <c r="AB22" s="261"/>
      <c r="AC22" s="262"/>
      <c r="AD22" s="826"/>
      <c r="AE22" s="826"/>
      <c r="AF22" s="816"/>
      <c r="AG22" s="817"/>
      <c r="AH22" s="579" t="s">
        <v>130</v>
      </c>
      <c r="AI22" s="377"/>
      <c r="AJ22" s="378">
        <v>8.77</v>
      </c>
      <c r="AO22" s="159"/>
    </row>
    <row r="23" spans="2:42" ht="25.5" hidden="1" customHeight="1" outlineLevel="1" x14ac:dyDescent="0.25">
      <c r="B23" s="816"/>
      <c r="C23" s="817"/>
      <c r="D23" s="590" t="s">
        <v>130</v>
      </c>
      <c r="E23" s="259"/>
      <c r="F23" s="210">
        <v>8.77</v>
      </c>
      <c r="G23" s="260"/>
      <c r="H23" s="260"/>
      <c r="I23" s="501"/>
      <c r="J23" s="479"/>
      <c r="P23" s="351"/>
      <c r="Q23" s="38">
        <f t="shared" si="0"/>
        <v>0</v>
      </c>
      <c r="R23" s="38">
        <f t="shared" si="1"/>
        <v>0</v>
      </c>
      <c r="S23" s="38">
        <f t="shared" si="2"/>
        <v>0</v>
      </c>
      <c r="T23" s="81">
        <f t="shared" si="3"/>
        <v>0</v>
      </c>
      <c r="U23" s="379">
        <f t="shared" si="4"/>
        <v>0</v>
      </c>
      <c r="V23" s="241">
        <f t="shared" si="5"/>
        <v>0</v>
      </c>
      <c r="W23" s="241">
        <f t="shared" si="6"/>
        <v>0</v>
      </c>
      <c r="X23" s="241">
        <f t="shared" si="7"/>
        <v>0</v>
      </c>
      <c r="Y23" s="242">
        <f t="shared" si="8"/>
        <v>0</v>
      </c>
      <c r="Z23" s="184"/>
      <c r="AA23" s="261"/>
      <c r="AB23" s="261"/>
      <c r="AC23" s="262"/>
      <c r="AD23" s="826"/>
      <c r="AE23" s="826"/>
      <c r="AF23" s="816"/>
      <c r="AG23" s="817"/>
      <c r="AH23" s="579" t="s">
        <v>130</v>
      </c>
      <c r="AI23" s="377"/>
      <c r="AJ23" s="378">
        <v>8.77</v>
      </c>
      <c r="AO23" s="159"/>
    </row>
    <row r="24" spans="2:42" ht="25.5" hidden="1" customHeight="1" outlineLevel="1" thickBot="1" x14ac:dyDescent="0.3">
      <c r="B24" s="816"/>
      <c r="C24" s="817"/>
      <c r="D24" s="590" t="s">
        <v>130</v>
      </c>
      <c r="E24" s="259"/>
      <c r="F24" s="210">
        <v>8.77</v>
      </c>
      <c r="G24" s="260"/>
      <c r="H24" s="260"/>
      <c r="I24" s="501"/>
      <c r="J24" s="479"/>
      <c r="K24" s="607" t="s">
        <v>83</v>
      </c>
      <c r="L24" s="607"/>
      <c r="M24" s="607"/>
      <c r="N24" s="607"/>
      <c r="O24" s="607"/>
      <c r="P24" s="351"/>
      <c r="Q24" s="38">
        <f t="shared" si="0"/>
        <v>0</v>
      </c>
      <c r="R24" s="38">
        <f t="shared" si="1"/>
        <v>0</v>
      </c>
      <c r="S24" s="38">
        <f t="shared" si="2"/>
        <v>0</v>
      </c>
      <c r="T24" s="81">
        <f t="shared" si="3"/>
        <v>0</v>
      </c>
      <c r="U24" s="379">
        <f t="shared" si="4"/>
        <v>0</v>
      </c>
      <c r="V24" s="241">
        <f t="shared" si="5"/>
        <v>0</v>
      </c>
      <c r="W24" s="241">
        <f t="shared" si="6"/>
        <v>0</v>
      </c>
      <c r="X24" s="241">
        <f t="shared" si="7"/>
        <v>0</v>
      </c>
      <c r="Y24" s="242">
        <f t="shared" si="8"/>
        <v>0</v>
      </c>
      <c r="Z24" s="184"/>
      <c r="AA24" s="261"/>
      <c r="AB24" s="261"/>
      <c r="AC24" s="262"/>
      <c r="AD24" s="826"/>
      <c r="AE24" s="826"/>
      <c r="AF24" s="816"/>
      <c r="AG24" s="817"/>
      <c r="AH24" s="579" t="s">
        <v>130</v>
      </c>
      <c r="AI24" s="377"/>
      <c r="AJ24" s="378">
        <v>8.77</v>
      </c>
      <c r="AO24" s="159"/>
    </row>
    <row r="25" spans="2:42" ht="25.5" hidden="1" customHeight="1" outlineLevel="1" x14ac:dyDescent="0.25">
      <c r="B25" s="816"/>
      <c r="C25" s="817"/>
      <c r="D25" s="590" t="s">
        <v>130</v>
      </c>
      <c r="E25" s="259"/>
      <c r="F25" s="210">
        <v>8.77</v>
      </c>
      <c r="G25" s="260"/>
      <c r="H25" s="260"/>
      <c r="I25" s="501"/>
      <c r="J25" s="479"/>
      <c r="K25" s="343" t="s">
        <v>79</v>
      </c>
      <c r="L25" s="614" t="s">
        <v>84</v>
      </c>
      <c r="M25" s="615"/>
      <c r="N25" s="616" t="s">
        <v>77</v>
      </c>
      <c r="O25" s="616"/>
      <c r="P25" s="351"/>
      <c r="Q25" s="38">
        <f t="shared" si="0"/>
        <v>0</v>
      </c>
      <c r="R25" s="38">
        <f t="shared" si="1"/>
        <v>0</v>
      </c>
      <c r="S25" s="38">
        <f t="shared" si="2"/>
        <v>0</v>
      </c>
      <c r="T25" s="81">
        <f t="shared" si="3"/>
        <v>0</v>
      </c>
      <c r="U25" s="379">
        <f t="shared" si="4"/>
        <v>0</v>
      </c>
      <c r="V25" s="241">
        <f t="shared" si="5"/>
        <v>0</v>
      </c>
      <c r="W25" s="241">
        <f t="shared" si="6"/>
        <v>0</v>
      </c>
      <c r="X25" s="241">
        <f t="shared" si="7"/>
        <v>0</v>
      </c>
      <c r="Y25" s="242">
        <f t="shared" si="8"/>
        <v>0</v>
      </c>
      <c r="Z25" s="184"/>
      <c r="AA25" s="261"/>
      <c r="AB25" s="261"/>
      <c r="AC25" s="262"/>
      <c r="AD25" s="826"/>
      <c r="AE25" s="826"/>
      <c r="AF25" s="816"/>
      <c r="AG25" s="817"/>
      <c r="AH25" s="579" t="s">
        <v>130</v>
      </c>
      <c r="AI25" s="377"/>
      <c r="AJ25" s="378">
        <v>8.77</v>
      </c>
      <c r="AO25" s="159"/>
    </row>
    <row r="26" spans="2:42" ht="25.5" hidden="1" customHeight="1" outlineLevel="1" x14ac:dyDescent="0.25">
      <c r="B26" s="816"/>
      <c r="C26" s="817"/>
      <c r="D26" s="590" t="s">
        <v>130</v>
      </c>
      <c r="E26" s="259"/>
      <c r="F26" s="210">
        <v>8.77</v>
      </c>
      <c r="G26" s="260"/>
      <c r="H26" s="260"/>
      <c r="I26" s="501"/>
      <c r="J26" s="479"/>
      <c r="K26" s="350">
        <v>0</v>
      </c>
      <c r="L26" s="617">
        <v>190</v>
      </c>
      <c r="M26" s="617"/>
      <c r="N26" s="618" cm="1">
        <f t="array" ref="N26">_xlfn.IFS(L26 = 190, (K26/L26)*8.77, L26=260, (K26/L26)*12, L26=70, (K26/L26)*3.23)</f>
        <v>0</v>
      </c>
      <c r="O26" s="618"/>
      <c r="P26" s="351"/>
      <c r="Q26" s="38">
        <f t="shared" si="0"/>
        <v>0</v>
      </c>
      <c r="R26" s="38">
        <f t="shared" si="1"/>
        <v>0</v>
      </c>
      <c r="S26" s="38">
        <f t="shared" si="2"/>
        <v>0</v>
      </c>
      <c r="T26" s="81">
        <f t="shared" si="3"/>
        <v>0</v>
      </c>
      <c r="U26" s="379">
        <f t="shared" si="4"/>
        <v>0</v>
      </c>
      <c r="V26" s="241">
        <f t="shared" si="5"/>
        <v>0</v>
      </c>
      <c r="W26" s="241">
        <f t="shared" si="6"/>
        <v>0</v>
      </c>
      <c r="X26" s="241">
        <f t="shared" si="7"/>
        <v>0</v>
      </c>
      <c r="Y26" s="242">
        <f t="shared" si="8"/>
        <v>0</v>
      </c>
      <c r="Z26" s="184"/>
      <c r="AA26" s="261"/>
      <c r="AB26" s="261"/>
      <c r="AC26" s="262"/>
      <c r="AD26" s="826"/>
      <c r="AE26" s="826"/>
      <c r="AF26" s="816"/>
      <c r="AG26" s="817"/>
      <c r="AH26" s="579" t="s">
        <v>130</v>
      </c>
      <c r="AI26" s="377"/>
      <c r="AJ26" s="378">
        <v>8.77</v>
      </c>
      <c r="AO26" s="159"/>
    </row>
    <row r="27" spans="2:42" ht="25.5" hidden="1" customHeight="1" outlineLevel="1" x14ac:dyDescent="0.25">
      <c r="B27" s="816"/>
      <c r="C27" s="817"/>
      <c r="D27" s="590" t="s">
        <v>130</v>
      </c>
      <c r="E27" s="259"/>
      <c r="F27" s="210">
        <v>8.77</v>
      </c>
      <c r="G27" s="260"/>
      <c r="H27" s="260"/>
      <c r="I27" s="501"/>
      <c r="J27" s="479"/>
      <c r="K27" s="351"/>
      <c r="L27" s="351"/>
      <c r="M27" s="351"/>
      <c r="N27" s="351"/>
      <c r="O27" s="351"/>
      <c r="P27" s="351"/>
      <c r="Q27" s="38">
        <f t="shared" si="0"/>
        <v>0</v>
      </c>
      <c r="R27" s="38">
        <f t="shared" si="1"/>
        <v>0</v>
      </c>
      <c r="S27" s="38">
        <f t="shared" si="2"/>
        <v>0</v>
      </c>
      <c r="T27" s="81">
        <f t="shared" si="3"/>
        <v>0</v>
      </c>
      <c r="U27" s="379">
        <f t="shared" si="4"/>
        <v>0</v>
      </c>
      <c r="V27" s="241">
        <f t="shared" si="5"/>
        <v>0</v>
      </c>
      <c r="W27" s="241">
        <f t="shared" si="6"/>
        <v>0</v>
      </c>
      <c r="X27" s="241">
        <f t="shared" si="7"/>
        <v>0</v>
      </c>
      <c r="Y27" s="242">
        <f t="shared" si="8"/>
        <v>0</v>
      </c>
      <c r="Z27" s="184"/>
      <c r="AA27" s="261"/>
      <c r="AB27" s="261"/>
      <c r="AC27" s="262"/>
      <c r="AD27" s="826"/>
      <c r="AE27" s="826"/>
      <c r="AF27" s="816"/>
      <c r="AG27" s="817"/>
      <c r="AH27" s="579" t="s">
        <v>130</v>
      </c>
      <c r="AI27" s="377"/>
      <c r="AJ27" s="378">
        <v>8.77</v>
      </c>
      <c r="AO27" s="159"/>
    </row>
    <row r="28" spans="2:42" ht="25.5" hidden="1" customHeight="1" outlineLevel="1" thickBot="1" x14ac:dyDescent="0.3">
      <c r="B28" s="822"/>
      <c r="C28" s="822"/>
      <c r="D28" s="590" t="s">
        <v>130</v>
      </c>
      <c r="E28" s="259"/>
      <c r="F28" s="210">
        <v>8.77</v>
      </c>
      <c r="G28" s="260"/>
      <c r="H28" s="260"/>
      <c r="I28" s="501"/>
      <c r="J28" s="479"/>
      <c r="K28" s="607" t="s">
        <v>85</v>
      </c>
      <c r="L28" s="607"/>
      <c r="M28" s="607"/>
      <c r="N28" s="607"/>
      <c r="O28" s="607"/>
      <c r="P28" s="351"/>
      <c r="Q28" s="38">
        <f t="shared" si="0"/>
        <v>0</v>
      </c>
      <c r="R28" s="38">
        <f t="shared" si="1"/>
        <v>0</v>
      </c>
      <c r="S28" s="38">
        <f t="shared" si="2"/>
        <v>0</v>
      </c>
      <c r="T28" s="81">
        <f t="shared" si="3"/>
        <v>0</v>
      </c>
      <c r="U28" s="379">
        <f t="shared" si="4"/>
        <v>0</v>
      </c>
      <c r="V28" s="241">
        <f t="shared" si="5"/>
        <v>0</v>
      </c>
      <c r="W28" s="241">
        <f t="shared" si="6"/>
        <v>0</v>
      </c>
      <c r="X28" s="241">
        <f t="shared" si="7"/>
        <v>0</v>
      </c>
      <c r="Y28" s="242">
        <f t="shared" si="8"/>
        <v>0</v>
      </c>
      <c r="Z28" s="184"/>
      <c r="AA28" s="261"/>
      <c r="AB28" s="261"/>
      <c r="AC28" s="262"/>
      <c r="AD28" s="826"/>
      <c r="AE28" s="826"/>
      <c r="AF28" s="816"/>
      <c r="AG28" s="817"/>
      <c r="AH28" s="579" t="s">
        <v>130</v>
      </c>
      <c r="AI28" s="377"/>
      <c r="AJ28" s="378">
        <v>8.77</v>
      </c>
      <c r="AO28" s="159"/>
    </row>
    <row r="29" spans="2:42" ht="25.5" hidden="1" customHeight="1" outlineLevel="1" x14ac:dyDescent="0.25">
      <c r="B29" s="822"/>
      <c r="C29" s="822"/>
      <c r="D29" s="590" t="s">
        <v>130</v>
      </c>
      <c r="E29" s="259"/>
      <c r="F29" s="210">
        <v>8.77</v>
      </c>
      <c r="G29" s="260"/>
      <c r="H29" s="260"/>
      <c r="I29" s="501"/>
      <c r="J29" s="479"/>
      <c r="K29" s="352" t="s">
        <v>75</v>
      </c>
      <c r="L29" s="352" t="s">
        <v>86</v>
      </c>
      <c r="M29" s="605" t="s">
        <v>131</v>
      </c>
      <c r="N29" s="605"/>
      <c r="O29" s="352" t="s">
        <v>132</v>
      </c>
      <c r="P29" s="351"/>
      <c r="Q29" s="38">
        <f t="shared" si="0"/>
        <v>0</v>
      </c>
      <c r="R29" s="240">
        <f t="shared" si="1"/>
        <v>0</v>
      </c>
      <c r="S29" s="380">
        <f t="shared" si="2"/>
        <v>0</v>
      </c>
      <c r="T29" s="81">
        <f t="shared" si="3"/>
        <v>0</v>
      </c>
      <c r="U29" s="375">
        <f t="shared" si="4"/>
        <v>0</v>
      </c>
      <c r="V29" s="241">
        <f t="shared" si="5"/>
        <v>0</v>
      </c>
      <c r="W29" s="241">
        <f t="shared" si="6"/>
        <v>0</v>
      </c>
      <c r="X29" s="241">
        <f t="shared" si="7"/>
        <v>0</v>
      </c>
      <c r="Y29" s="242">
        <f t="shared" si="8"/>
        <v>0</v>
      </c>
      <c r="Z29" s="184"/>
      <c r="AA29" s="261"/>
      <c r="AB29" s="261"/>
      <c r="AC29" s="262"/>
      <c r="AD29" s="826"/>
      <c r="AE29" s="826"/>
      <c r="AF29" s="816"/>
      <c r="AG29" s="817"/>
      <c r="AH29" s="579" t="s">
        <v>130</v>
      </c>
      <c r="AI29" s="377"/>
      <c r="AJ29" s="378">
        <v>8.77</v>
      </c>
      <c r="AO29" s="159"/>
    </row>
    <row r="30" spans="2:42" ht="25.5" hidden="1" customHeight="1" outlineLevel="1" x14ac:dyDescent="0.25">
      <c r="B30" s="822"/>
      <c r="C30" s="822"/>
      <c r="D30" s="590" t="s">
        <v>130</v>
      </c>
      <c r="E30" s="259"/>
      <c r="F30" s="210">
        <v>8.77</v>
      </c>
      <c r="G30" s="260"/>
      <c r="H30" s="260"/>
      <c r="I30" s="501"/>
      <c r="J30" s="479"/>
      <c r="K30" s="354">
        <v>0</v>
      </c>
      <c r="L30" s="355">
        <v>0</v>
      </c>
      <c r="M30" s="606">
        <v>8.77</v>
      </c>
      <c r="N30" s="606"/>
      <c r="O30" s="381">
        <f>M30*L30*K30</f>
        <v>0</v>
      </c>
      <c r="P30" s="351"/>
      <c r="Q30" s="382">
        <f t="shared" si="0"/>
        <v>0</v>
      </c>
      <c r="R30" s="382">
        <f t="shared" si="1"/>
        <v>0</v>
      </c>
      <c r="S30" s="380">
        <f t="shared" si="2"/>
        <v>0</v>
      </c>
      <c r="T30" s="81">
        <f t="shared" si="3"/>
        <v>0</v>
      </c>
      <c r="U30" s="379">
        <f t="shared" si="4"/>
        <v>0</v>
      </c>
      <c r="V30" s="241">
        <f t="shared" si="5"/>
        <v>0</v>
      </c>
      <c r="W30" s="241">
        <f t="shared" si="6"/>
        <v>0</v>
      </c>
      <c r="X30" s="241">
        <f t="shared" si="7"/>
        <v>0</v>
      </c>
      <c r="Y30" s="242">
        <f t="shared" si="8"/>
        <v>0</v>
      </c>
      <c r="Z30" s="184"/>
      <c r="AA30" s="261"/>
      <c r="AB30" s="261"/>
      <c r="AC30" s="262"/>
      <c r="AD30" s="826"/>
      <c r="AE30" s="826"/>
      <c r="AF30" s="816"/>
      <c r="AG30" s="817"/>
      <c r="AH30" s="579" t="s">
        <v>130</v>
      </c>
      <c r="AI30" s="377"/>
      <c r="AJ30" s="378">
        <v>8.77</v>
      </c>
      <c r="AO30" s="203"/>
    </row>
    <row r="31" spans="2:42" ht="34.5" customHeight="1" collapsed="1" x14ac:dyDescent="0.25">
      <c r="B31" s="818" t="s">
        <v>133</v>
      </c>
      <c r="C31" s="818"/>
      <c r="D31" s="818"/>
      <c r="E31" s="818"/>
      <c r="F31" s="818"/>
      <c r="G31" s="818"/>
      <c r="H31" s="818"/>
      <c r="I31" s="818"/>
      <c r="J31" s="818"/>
      <c r="K31" s="818"/>
      <c r="L31" s="818"/>
      <c r="M31" s="818"/>
      <c r="N31" s="818"/>
      <c r="O31" s="818"/>
      <c r="P31" s="818"/>
      <c r="Q31" s="383">
        <f t="shared" ref="Q31:T31" si="9">SUM(Q11:Q30)</f>
        <v>0</v>
      </c>
      <c r="R31" s="383">
        <f t="shared" si="9"/>
        <v>0</v>
      </c>
      <c r="S31" s="383">
        <f t="shared" si="9"/>
        <v>0</v>
      </c>
      <c r="T31" s="384">
        <f t="shared" si="9"/>
        <v>0</v>
      </c>
      <c r="U31" s="371">
        <f>SrSalaryTot+$Y31</f>
        <v>0</v>
      </c>
      <c r="V31" s="524">
        <f>SUM(V11:V30)</f>
        <v>0</v>
      </c>
      <c r="W31" s="525">
        <f>SUM(W11:W30)</f>
        <v>0</v>
      </c>
      <c r="X31" s="525">
        <f>SUM(X11:X30)</f>
        <v>0</v>
      </c>
      <c r="Y31" s="524">
        <f>SUM(Y11:Y30)</f>
        <v>0</v>
      </c>
      <c r="Z31" s="385"/>
      <c r="AA31" s="819" t="s">
        <v>134</v>
      </c>
      <c r="AB31" s="819"/>
      <c r="AC31" s="819"/>
      <c r="AD31" s="819"/>
      <c r="AE31" s="819"/>
      <c r="AF31" s="819"/>
      <c r="AG31" s="819"/>
      <c r="AH31" s="819"/>
      <c r="AI31" s="819"/>
      <c r="AJ31" s="819"/>
      <c r="AK31" s="819"/>
      <c r="AL31" s="819"/>
      <c r="AM31" s="819"/>
      <c r="AN31" s="819"/>
      <c r="AO31" s="820"/>
      <c r="AP31" s="40"/>
    </row>
    <row r="32" spans="2:42" ht="52.5" customHeight="1" thickBot="1" x14ac:dyDescent="0.35">
      <c r="B32" s="665" t="s">
        <v>135</v>
      </c>
      <c r="C32" s="665"/>
      <c r="D32" s="665"/>
      <c r="E32" s="665"/>
      <c r="F32" s="665"/>
      <c r="G32" s="665"/>
      <c r="H32" s="665"/>
      <c r="I32" s="665"/>
      <c r="J32" s="477"/>
      <c r="K32" s="228"/>
      <c r="L32" s="228"/>
      <c r="M32" s="228"/>
      <c r="N32" s="228"/>
      <c r="O32" s="228"/>
      <c r="P32" s="228"/>
      <c r="Q32" s="821" t="s">
        <v>114</v>
      </c>
      <c r="R32" s="821"/>
      <c r="S32" s="821"/>
      <c r="T32" s="821"/>
      <c r="U32" s="237"/>
      <c r="V32" s="666" t="s">
        <v>136</v>
      </c>
      <c r="W32" s="666"/>
      <c r="X32" s="666"/>
      <c r="Y32" s="666"/>
      <c r="Z32" s="666"/>
      <c r="AA32" s="666"/>
      <c r="AB32" s="666"/>
      <c r="AC32" s="666"/>
      <c r="AD32" s="666"/>
      <c r="AE32" s="666"/>
      <c r="AF32" s="666"/>
      <c r="AG32" s="666"/>
      <c r="AH32" s="666"/>
      <c r="AI32" s="666"/>
      <c r="AJ32" s="666"/>
      <c r="AK32" s="666"/>
      <c r="AL32" s="666"/>
      <c r="AM32" s="666"/>
      <c r="AN32" s="666"/>
      <c r="AO32" s="666"/>
    </row>
    <row r="33" spans="2:41" ht="46.5" customHeight="1" thickTop="1" x14ac:dyDescent="0.25">
      <c r="B33" s="70" t="s">
        <v>137</v>
      </c>
      <c r="C33" s="65" t="s">
        <v>138</v>
      </c>
      <c r="D33" s="71" t="s">
        <v>139</v>
      </c>
      <c r="E33" s="71" t="s">
        <v>140</v>
      </c>
      <c r="F33" s="71" t="s">
        <v>141</v>
      </c>
      <c r="G33" s="71" t="s">
        <v>142</v>
      </c>
      <c r="H33" s="71" t="s">
        <v>143</v>
      </c>
      <c r="I33" s="71" t="s">
        <v>144</v>
      </c>
      <c r="J33" s="71"/>
      <c r="K33" s="823"/>
      <c r="L33" s="823"/>
      <c r="M33" s="823"/>
      <c r="N33" s="823"/>
      <c r="O33" s="823"/>
      <c r="P33" s="823"/>
      <c r="Q33" s="64" t="s">
        <v>123</v>
      </c>
      <c r="R33" s="64" t="s">
        <v>124</v>
      </c>
      <c r="S33" s="64" t="s">
        <v>125</v>
      </c>
      <c r="T33" s="386" t="s">
        <v>110</v>
      </c>
      <c r="U33" s="371"/>
      <c r="V33" s="67" t="s">
        <v>123</v>
      </c>
      <c r="W33" s="67" t="s">
        <v>124</v>
      </c>
      <c r="X33" s="67" t="s">
        <v>125</v>
      </c>
      <c r="Y33" s="373" t="s">
        <v>126</v>
      </c>
      <c r="Z33" s="181"/>
      <c r="AA33" s="71" t="s">
        <v>142</v>
      </c>
      <c r="AB33" s="71" t="s">
        <v>145</v>
      </c>
      <c r="AC33" s="71" t="s">
        <v>144</v>
      </c>
      <c r="AD33" s="825" t="s">
        <v>127</v>
      </c>
      <c r="AE33" s="825"/>
      <c r="AF33" s="70" t="s">
        <v>137</v>
      </c>
      <c r="AG33" s="65" t="s">
        <v>138</v>
      </c>
      <c r="AH33" s="71" t="s">
        <v>139</v>
      </c>
      <c r="AI33" s="71" t="s">
        <v>140</v>
      </c>
      <c r="AJ33" s="71" t="s">
        <v>141</v>
      </c>
      <c r="AK33"/>
      <c r="AL33"/>
      <c r="AO33" s="202"/>
    </row>
    <row r="34" spans="2:41" ht="25.5" customHeight="1" x14ac:dyDescent="0.25">
      <c r="B34" s="263"/>
      <c r="C34" s="580" t="s">
        <v>146</v>
      </c>
      <c r="D34" s="263"/>
      <c r="E34" s="265"/>
      <c r="F34" s="41">
        <f t="shared" ref="F34:F53" si="10">(D34*E34)*4.333</f>
        <v>0</v>
      </c>
      <c r="G34" s="266"/>
      <c r="H34" s="266"/>
      <c r="I34" s="494"/>
      <c r="J34" s="520"/>
      <c r="K34" s="824"/>
      <c r="L34" s="824"/>
      <c r="M34" s="824"/>
      <c r="N34" s="824"/>
      <c r="O34" s="824"/>
      <c r="P34" s="824"/>
      <c r="Q34" s="38">
        <f t="shared" ref="Q34:Q53" si="11">ROUND($F34*$B34*G34,0)</f>
        <v>0</v>
      </c>
      <c r="R34" s="38">
        <f t="shared" ref="R34:R53" si="12">ROUND($F34*1.03^H$2*$B34*H34,0)</f>
        <v>0</v>
      </c>
      <c r="S34" s="38">
        <f t="shared" ref="S34:S53" si="13">ROUND($F34*1.03^I$2*$B34*I34,0)</f>
        <v>0</v>
      </c>
      <c r="T34" s="81">
        <f t="shared" ref="T34:T53" si="14">SUM(Q34:S34)</f>
        <v>0</v>
      </c>
      <c r="U34" s="387">
        <f t="shared" ref="U34:U53" si="15">T34+Y34</f>
        <v>0</v>
      </c>
      <c r="V34" s="243">
        <f t="shared" ref="V34:V53" si="16">ROUND($AJ34*$AF34*AA34,0)</f>
        <v>0</v>
      </c>
      <c r="W34" s="243">
        <f t="shared" ref="W34:W53" si="17">ROUND($AJ34*1.03^H$2*$AF34*AB34,0)</f>
        <v>0</v>
      </c>
      <c r="X34" s="243">
        <f t="shared" ref="X34:X53" si="18">ROUND($AJ34*1.03^I$2*$AF34*AC34,0)</f>
        <v>0</v>
      </c>
      <c r="Y34" s="244">
        <f t="shared" ref="Y34:Y53" si="19">SUM(V34:X34)</f>
        <v>0</v>
      </c>
      <c r="Z34" s="148"/>
      <c r="AA34" s="266"/>
      <c r="AB34" s="266"/>
      <c r="AC34" s="266"/>
      <c r="AD34" s="826"/>
      <c r="AE34" s="826"/>
      <c r="AF34" s="263"/>
      <c r="AG34" s="580" t="s">
        <v>146</v>
      </c>
      <c r="AH34" s="263"/>
      <c r="AI34" s="265"/>
      <c r="AJ34" s="41">
        <f t="shared" ref="AJ34:AJ53" si="20">(AH34*AI34)*4.333</f>
        <v>0</v>
      </c>
      <c r="AK34"/>
      <c r="AL34"/>
      <c r="AO34" s="159"/>
    </row>
    <row r="35" spans="2:41" ht="25.5" customHeight="1" x14ac:dyDescent="0.25">
      <c r="B35" s="263"/>
      <c r="C35" s="580" t="s">
        <v>147</v>
      </c>
      <c r="D35" s="263"/>
      <c r="E35" s="265"/>
      <c r="F35" s="41">
        <f t="shared" si="10"/>
        <v>0</v>
      </c>
      <c r="G35" s="266"/>
      <c r="H35" s="266"/>
      <c r="I35" s="494"/>
      <c r="J35" s="478"/>
      <c r="K35" s="824"/>
      <c r="L35" s="824"/>
      <c r="M35" s="824"/>
      <c r="N35" s="824"/>
      <c r="O35" s="824"/>
      <c r="P35" s="824"/>
      <c r="Q35" s="38">
        <f t="shared" si="11"/>
        <v>0</v>
      </c>
      <c r="R35" s="38">
        <f>ROUND($F35*1.03^H$2*$B35*H35,0)</f>
        <v>0</v>
      </c>
      <c r="S35" s="38">
        <f t="shared" si="13"/>
        <v>0</v>
      </c>
      <c r="T35" s="81">
        <f t="shared" si="14"/>
        <v>0</v>
      </c>
      <c r="U35" s="387">
        <f t="shared" si="15"/>
        <v>0</v>
      </c>
      <c r="V35" s="243">
        <f t="shared" si="16"/>
        <v>0</v>
      </c>
      <c r="W35" s="243">
        <f t="shared" si="17"/>
        <v>0</v>
      </c>
      <c r="X35" s="243">
        <f t="shared" si="18"/>
        <v>0</v>
      </c>
      <c r="Y35" s="244">
        <f t="shared" si="19"/>
        <v>0</v>
      </c>
      <c r="Z35" s="148"/>
      <c r="AA35" s="266"/>
      <c r="AB35" s="266"/>
      <c r="AC35" s="266"/>
      <c r="AD35" s="826"/>
      <c r="AE35" s="826"/>
      <c r="AF35" s="263"/>
      <c r="AG35" s="580" t="s">
        <v>147</v>
      </c>
      <c r="AH35" s="263"/>
      <c r="AI35" s="265"/>
      <c r="AJ35" s="41">
        <f t="shared" si="20"/>
        <v>0</v>
      </c>
      <c r="AK35"/>
      <c r="AL35"/>
      <c r="AO35" s="159"/>
    </row>
    <row r="36" spans="2:41" ht="25.5" customHeight="1" x14ac:dyDescent="0.25">
      <c r="B36" s="263"/>
      <c r="C36" s="580" t="s">
        <v>148</v>
      </c>
      <c r="D36" s="263"/>
      <c r="E36" s="265"/>
      <c r="F36" s="41">
        <f t="shared" si="10"/>
        <v>0</v>
      </c>
      <c r="G36" s="266"/>
      <c r="H36" s="266"/>
      <c r="I36" s="494"/>
      <c r="J36" s="478"/>
      <c r="K36" s="824"/>
      <c r="L36" s="824"/>
      <c r="M36" s="824"/>
      <c r="N36" s="824"/>
      <c r="O36" s="824"/>
      <c r="P36" s="824"/>
      <c r="Q36" s="38">
        <f t="shared" si="11"/>
        <v>0</v>
      </c>
      <c r="R36" s="38">
        <f t="shared" si="12"/>
        <v>0</v>
      </c>
      <c r="S36" s="38">
        <f t="shared" si="13"/>
        <v>0</v>
      </c>
      <c r="T36" s="81">
        <f t="shared" si="14"/>
        <v>0</v>
      </c>
      <c r="U36" s="387">
        <f t="shared" si="15"/>
        <v>0</v>
      </c>
      <c r="V36" s="243">
        <f t="shared" si="16"/>
        <v>0</v>
      </c>
      <c r="W36" s="243">
        <f t="shared" si="17"/>
        <v>0</v>
      </c>
      <c r="X36" s="243">
        <f t="shared" si="18"/>
        <v>0</v>
      </c>
      <c r="Y36" s="244">
        <f t="shared" si="19"/>
        <v>0</v>
      </c>
      <c r="Z36" s="148"/>
      <c r="AA36" s="266"/>
      <c r="AB36" s="266"/>
      <c r="AC36" s="266"/>
      <c r="AD36" s="826"/>
      <c r="AE36" s="826"/>
      <c r="AF36" s="263"/>
      <c r="AG36" s="580" t="s">
        <v>148</v>
      </c>
      <c r="AH36" s="263"/>
      <c r="AI36" s="265"/>
      <c r="AJ36" s="41">
        <f t="shared" si="20"/>
        <v>0</v>
      </c>
      <c r="AK36"/>
      <c r="AL36"/>
      <c r="AO36" s="159"/>
    </row>
    <row r="37" spans="2:41" ht="25.5" customHeight="1" x14ac:dyDescent="0.25">
      <c r="B37" s="263"/>
      <c r="C37" s="580" t="s">
        <v>149</v>
      </c>
      <c r="D37" s="263"/>
      <c r="E37" s="265"/>
      <c r="F37" s="41">
        <f t="shared" si="10"/>
        <v>0</v>
      </c>
      <c r="G37" s="266"/>
      <c r="H37" s="266"/>
      <c r="I37" s="494"/>
      <c r="J37" s="478"/>
      <c r="K37" s="824"/>
      <c r="L37" s="824"/>
      <c r="M37" s="824"/>
      <c r="N37" s="824"/>
      <c r="O37" s="824"/>
      <c r="P37" s="824"/>
      <c r="Q37" s="38">
        <f t="shared" si="11"/>
        <v>0</v>
      </c>
      <c r="R37" s="38">
        <f t="shared" si="12"/>
        <v>0</v>
      </c>
      <c r="S37" s="38">
        <f t="shared" si="13"/>
        <v>0</v>
      </c>
      <c r="T37" s="81">
        <f t="shared" si="14"/>
        <v>0</v>
      </c>
      <c r="U37" s="387">
        <f t="shared" si="15"/>
        <v>0</v>
      </c>
      <c r="V37" s="243">
        <f t="shared" si="16"/>
        <v>0</v>
      </c>
      <c r="W37" s="243">
        <f t="shared" si="17"/>
        <v>0</v>
      </c>
      <c r="X37" s="243">
        <f t="shared" si="18"/>
        <v>0</v>
      </c>
      <c r="Y37" s="244">
        <f t="shared" si="19"/>
        <v>0</v>
      </c>
      <c r="Z37" s="148"/>
      <c r="AA37" s="266"/>
      <c r="AB37" s="266"/>
      <c r="AC37" s="266"/>
      <c r="AD37" s="826"/>
      <c r="AE37" s="826"/>
      <c r="AF37" s="263"/>
      <c r="AG37" s="580" t="s">
        <v>149</v>
      </c>
      <c r="AH37" s="263"/>
      <c r="AI37" s="265"/>
      <c r="AJ37" s="41">
        <f t="shared" si="20"/>
        <v>0</v>
      </c>
      <c r="AK37"/>
      <c r="AL37"/>
      <c r="AO37" s="159"/>
    </row>
    <row r="38" spans="2:41" ht="25.5" customHeight="1" x14ac:dyDescent="0.25">
      <c r="B38" s="263"/>
      <c r="C38" s="580" t="s">
        <v>150</v>
      </c>
      <c r="D38" s="263"/>
      <c r="E38" s="265"/>
      <c r="F38" s="41">
        <f t="shared" si="10"/>
        <v>0</v>
      </c>
      <c r="G38" s="266"/>
      <c r="H38" s="266"/>
      <c r="I38" s="494"/>
      <c r="J38" s="478"/>
      <c r="K38" s="824"/>
      <c r="L38" s="824"/>
      <c r="M38" s="824"/>
      <c r="N38" s="824"/>
      <c r="O38" s="824"/>
      <c r="P38" s="824"/>
      <c r="Q38" s="38">
        <f t="shared" si="11"/>
        <v>0</v>
      </c>
      <c r="R38" s="38">
        <f t="shared" si="12"/>
        <v>0</v>
      </c>
      <c r="S38" s="38">
        <f t="shared" si="13"/>
        <v>0</v>
      </c>
      <c r="T38" s="81">
        <f t="shared" si="14"/>
        <v>0</v>
      </c>
      <c r="U38" s="387">
        <f t="shared" si="15"/>
        <v>0</v>
      </c>
      <c r="V38" s="243">
        <f t="shared" si="16"/>
        <v>0</v>
      </c>
      <c r="W38" s="243">
        <f t="shared" si="17"/>
        <v>0</v>
      </c>
      <c r="X38" s="243">
        <f t="shared" si="18"/>
        <v>0</v>
      </c>
      <c r="Y38" s="244">
        <f t="shared" si="19"/>
        <v>0</v>
      </c>
      <c r="Z38" s="148"/>
      <c r="AA38" s="266"/>
      <c r="AB38" s="266"/>
      <c r="AC38" s="266"/>
      <c r="AD38" s="826"/>
      <c r="AE38" s="826"/>
      <c r="AF38" s="263"/>
      <c r="AG38" s="580" t="s">
        <v>150</v>
      </c>
      <c r="AH38" s="263"/>
      <c r="AI38" s="265"/>
      <c r="AJ38" s="41">
        <f t="shared" si="20"/>
        <v>0</v>
      </c>
      <c r="AK38"/>
      <c r="AL38"/>
      <c r="AO38" s="159"/>
    </row>
    <row r="39" spans="2:41" ht="25.5" customHeight="1" x14ac:dyDescent="0.25">
      <c r="B39" s="263"/>
      <c r="C39" s="580" t="s">
        <v>151</v>
      </c>
      <c r="D39" s="263"/>
      <c r="E39" s="265"/>
      <c r="F39" s="41">
        <f t="shared" si="10"/>
        <v>0</v>
      </c>
      <c r="G39" s="266"/>
      <c r="H39" s="266"/>
      <c r="I39" s="494"/>
      <c r="J39" s="520"/>
      <c r="K39" s="824"/>
      <c r="L39" s="824"/>
      <c r="M39" s="824"/>
      <c r="N39" s="824"/>
      <c r="O39" s="824"/>
      <c r="P39" s="824"/>
      <c r="Q39" s="38">
        <f t="shared" si="11"/>
        <v>0</v>
      </c>
      <c r="R39" s="38">
        <f t="shared" si="12"/>
        <v>0</v>
      </c>
      <c r="S39" s="38">
        <f t="shared" si="13"/>
        <v>0</v>
      </c>
      <c r="T39" s="81">
        <f t="shared" si="14"/>
        <v>0</v>
      </c>
      <c r="U39" s="387">
        <f t="shared" si="15"/>
        <v>0</v>
      </c>
      <c r="V39" s="243">
        <f t="shared" si="16"/>
        <v>0</v>
      </c>
      <c r="W39" s="243">
        <f t="shared" si="17"/>
        <v>0</v>
      </c>
      <c r="X39" s="243">
        <f t="shared" si="18"/>
        <v>0</v>
      </c>
      <c r="Y39" s="244">
        <f t="shared" si="19"/>
        <v>0</v>
      </c>
      <c r="Z39" s="148"/>
      <c r="AA39" s="266"/>
      <c r="AB39" s="266"/>
      <c r="AC39" s="266"/>
      <c r="AD39" s="826"/>
      <c r="AE39" s="826"/>
      <c r="AF39" s="263"/>
      <c r="AG39" s="580" t="s">
        <v>151</v>
      </c>
      <c r="AH39" s="263"/>
      <c r="AI39" s="265"/>
      <c r="AJ39" s="41">
        <f t="shared" si="20"/>
        <v>0</v>
      </c>
      <c r="AK39"/>
      <c r="AL39"/>
      <c r="AO39" s="159"/>
    </row>
    <row r="40" spans="2:41" ht="25.5" customHeight="1" x14ac:dyDescent="0.25">
      <c r="B40" s="263"/>
      <c r="C40" s="580"/>
      <c r="D40" s="263"/>
      <c r="E40" s="265"/>
      <c r="F40" s="41">
        <f t="shared" si="10"/>
        <v>0</v>
      </c>
      <c r="G40" s="266"/>
      <c r="H40" s="266"/>
      <c r="I40" s="494"/>
      <c r="J40" s="478"/>
      <c r="K40" s="824"/>
      <c r="L40" s="824"/>
      <c r="M40" s="824"/>
      <c r="N40" s="824"/>
      <c r="O40" s="824"/>
      <c r="P40" s="824"/>
      <c r="Q40" s="38">
        <f t="shared" si="11"/>
        <v>0</v>
      </c>
      <c r="R40" s="38">
        <f t="shared" si="12"/>
        <v>0</v>
      </c>
      <c r="S40" s="38">
        <f t="shared" si="13"/>
        <v>0</v>
      </c>
      <c r="T40" s="81">
        <f t="shared" si="14"/>
        <v>0</v>
      </c>
      <c r="U40" s="387">
        <f t="shared" si="15"/>
        <v>0</v>
      </c>
      <c r="V40" s="243">
        <f t="shared" si="16"/>
        <v>0</v>
      </c>
      <c r="W40" s="243">
        <f t="shared" si="17"/>
        <v>0</v>
      </c>
      <c r="X40" s="243">
        <f t="shared" si="18"/>
        <v>0</v>
      </c>
      <c r="Y40" s="244">
        <f t="shared" si="19"/>
        <v>0</v>
      </c>
      <c r="Z40" s="148"/>
      <c r="AA40" s="266"/>
      <c r="AB40" s="266"/>
      <c r="AC40" s="266"/>
      <c r="AD40" s="826"/>
      <c r="AE40" s="826"/>
      <c r="AF40" s="263"/>
      <c r="AG40" s="580"/>
      <c r="AH40" s="263"/>
      <c r="AI40" s="265"/>
      <c r="AJ40" s="41">
        <f t="shared" si="20"/>
        <v>0</v>
      </c>
      <c r="AK40"/>
      <c r="AL40"/>
      <c r="AO40" s="159"/>
    </row>
    <row r="41" spans="2:41" ht="25.5" customHeight="1" x14ac:dyDescent="0.25">
      <c r="B41" s="263"/>
      <c r="C41" s="580"/>
      <c r="D41" s="263"/>
      <c r="E41" s="265"/>
      <c r="F41" s="41">
        <f t="shared" si="10"/>
        <v>0</v>
      </c>
      <c r="G41" s="266"/>
      <c r="H41" s="266"/>
      <c r="I41" s="494"/>
      <c r="J41" s="478"/>
      <c r="K41" s="824"/>
      <c r="L41" s="824"/>
      <c r="M41" s="824"/>
      <c r="N41" s="824"/>
      <c r="O41" s="824"/>
      <c r="P41" s="824"/>
      <c r="Q41" s="38">
        <f t="shared" si="11"/>
        <v>0</v>
      </c>
      <c r="R41" s="38">
        <f t="shared" si="12"/>
        <v>0</v>
      </c>
      <c r="S41" s="38">
        <f t="shared" si="13"/>
        <v>0</v>
      </c>
      <c r="T41" s="81">
        <f t="shared" si="14"/>
        <v>0</v>
      </c>
      <c r="U41" s="387">
        <f t="shared" si="15"/>
        <v>0</v>
      </c>
      <c r="V41" s="243">
        <f t="shared" si="16"/>
        <v>0</v>
      </c>
      <c r="W41" s="243">
        <f t="shared" si="17"/>
        <v>0</v>
      </c>
      <c r="X41" s="243">
        <f t="shared" si="18"/>
        <v>0</v>
      </c>
      <c r="Y41" s="244">
        <f t="shared" si="19"/>
        <v>0</v>
      </c>
      <c r="Z41" s="148"/>
      <c r="AA41" s="266"/>
      <c r="AB41" s="266"/>
      <c r="AC41" s="266"/>
      <c r="AD41" s="826"/>
      <c r="AE41" s="826"/>
      <c r="AF41" s="263"/>
      <c r="AG41" s="580"/>
      <c r="AH41" s="263"/>
      <c r="AI41" s="265"/>
      <c r="AJ41" s="41">
        <f t="shared" si="20"/>
        <v>0</v>
      </c>
      <c r="AK41"/>
      <c r="AL41"/>
      <c r="AO41" s="159"/>
    </row>
    <row r="42" spans="2:41" ht="25.5" customHeight="1" x14ac:dyDescent="0.25">
      <c r="B42" s="263"/>
      <c r="C42" s="580"/>
      <c r="D42" s="263"/>
      <c r="E42" s="265"/>
      <c r="F42" s="41">
        <f t="shared" si="10"/>
        <v>0</v>
      </c>
      <c r="G42" s="266"/>
      <c r="H42" s="266"/>
      <c r="I42" s="494"/>
      <c r="J42" s="478"/>
      <c r="K42" s="824"/>
      <c r="L42" s="824"/>
      <c r="M42" s="824"/>
      <c r="N42" s="824"/>
      <c r="O42" s="824"/>
      <c r="P42" s="824"/>
      <c r="Q42" s="38">
        <f t="shared" si="11"/>
        <v>0</v>
      </c>
      <c r="R42" s="38">
        <f t="shared" si="12"/>
        <v>0</v>
      </c>
      <c r="S42" s="38">
        <f t="shared" si="13"/>
        <v>0</v>
      </c>
      <c r="T42" s="81">
        <f t="shared" si="14"/>
        <v>0</v>
      </c>
      <c r="U42" s="387">
        <f t="shared" si="15"/>
        <v>0</v>
      </c>
      <c r="V42" s="243">
        <f t="shared" si="16"/>
        <v>0</v>
      </c>
      <c r="W42" s="243">
        <f t="shared" si="17"/>
        <v>0</v>
      </c>
      <c r="X42" s="243">
        <f t="shared" si="18"/>
        <v>0</v>
      </c>
      <c r="Y42" s="244">
        <f t="shared" si="19"/>
        <v>0</v>
      </c>
      <c r="Z42" s="148"/>
      <c r="AA42" s="266"/>
      <c r="AB42" s="266"/>
      <c r="AC42" s="266"/>
      <c r="AD42" s="826"/>
      <c r="AE42" s="826"/>
      <c r="AF42" s="263"/>
      <c r="AG42" s="580"/>
      <c r="AH42" s="263"/>
      <c r="AI42" s="265"/>
      <c r="AJ42" s="41">
        <f t="shared" si="20"/>
        <v>0</v>
      </c>
      <c r="AK42"/>
      <c r="AL42"/>
      <c r="AO42" s="159"/>
    </row>
    <row r="43" spans="2:41" ht="25.5" customHeight="1" x14ac:dyDescent="0.25">
      <c r="B43" s="263"/>
      <c r="C43" s="580"/>
      <c r="D43" s="263"/>
      <c r="E43" s="265"/>
      <c r="F43" s="41">
        <f t="shared" si="10"/>
        <v>0</v>
      </c>
      <c r="G43" s="266"/>
      <c r="H43" s="266"/>
      <c r="I43" s="494"/>
      <c r="J43" s="478"/>
      <c r="K43" s="824"/>
      <c r="L43" s="824"/>
      <c r="M43" s="824"/>
      <c r="N43" s="824"/>
      <c r="O43" s="824"/>
      <c r="P43" s="824"/>
      <c r="Q43" s="38">
        <f t="shared" si="11"/>
        <v>0</v>
      </c>
      <c r="R43" s="38">
        <f t="shared" si="12"/>
        <v>0</v>
      </c>
      <c r="S43" s="38">
        <f t="shared" si="13"/>
        <v>0</v>
      </c>
      <c r="T43" s="81">
        <f t="shared" si="14"/>
        <v>0</v>
      </c>
      <c r="U43" s="387">
        <f t="shared" si="15"/>
        <v>0</v>
      </c>
      <c r="V43" s="243">
        <f t="shared" si="16"/>
        <v>0</v>
      </c>
      <c r="W43" s="243">
        <f t="shared" si="17"/>
        <v>0</v>
      </c>
      <c r="X43" s="243">
        <f t="shared" si="18"/>
        <v>0</v>
      </c>
      <c r="Y43" s="244">
        <f t="shared" si="19"/>
        <v>0</v>
      </c>
      <c r="Z43" s="148"/>
      <c r="AA43" s="266"/>
      <c r="AB43" s="266"/>
      <c r="AC43" s="266"/>
      <c r="AD43" s="826"/>
      <c r="AE43" s="826"/>
      <c r="AF43" s="263"/>
      <c r="AG43" s="580"/>
      <c r="AH43" s="263"/>
      <c r="AI43" s="265"/>
      <c r="AJ43" s="41">
        <f t="shared" si="20"/>
        <v>0</v>
      </c>
      <c r="AK43"/>
      <c r="AL43"/>
      <c r="AO43" s="159"/>
    </row>
    <row r="44" spans="2:41" ht="25.5" hidden="1" customHeight="1" outlineLevel="1" x14ac:dyDescent="0.25">
      <c r="B44" s="263"/>
      <c r="C44" s="580"/>
      <c r="D44" s="263"/>
      <c r="E44" s="265"/>
      <c r="F44" s="41">
        <f t="shared" si="10"/>
        <v>0</v>
      </c>
      <c r="G44" s="266"/>
      <c r="H44" s="266"/>
      <c r="I44" s="494"/>
      <c r="J44" s="478"/>
      <c r="K44" s="824"/>
      <c r="L44" s="824"/>
      <c r="M44" s="824"/>
      <c r="N44" s="824"/>
      <c r="O44" s="824"/>
      <c r="P44" s="824"/>
      <c r="Q44" s="38">
        <f t="shared" si="11"/>
        <v>0</v>
      </c>
      <c r="R44" s="38">
        <f t="shared" si="12"/>
        <v>0</v>
      </c>
      <c r="S44" s="38">
        <f t="shared" si="13"/>
        <v>0</v>
      </c>
      <c r="T44" s="81">
        <f t="shared" si="14"/>
        <v>0</v>
      </c>
      <c r="U44" s="387">
        <f t="shared" si="15"/>
        <v>0</v>
      </c>
      <c r="V44" s="243">
        <f t="shared" si="16"/>
        <v>0</v>
      </c>
      <c r="W44" s="243">
        <f t="shared" si="17"/>
        <v>0</v>
      </c>
      <c r="X44" s="243">
        <f t="shared" si="18"/>
        <v>0</v>
      </c>
      <c r="Y44" s="244">
        <f t="shared" si="19"/>
        <v>0</v>
      </c>
      <c r="Z44" s="148"/>
      <c r="AA44" s="266"/>
      <c r="AB44" s="266"/>
      <c r="AC44" s="266"/>
      <c r="AD44" s="826"/>
      <c r="AE44" s="826"/>
      <c r="AF44" s="263"/>
      <c r="AG44" s="580"/>
      <c r="AH44" s="263"/>
      <c r="AI44" s="265"/>
      <c r="AJ44" s="41">
        <f t="shared" si="20"/>
        <v>0</v>
      </c>
      <c r="AK44"/>
      <c r="AL44"/>
      <c r="AO44" s="159"/>
    </row>
    <row r="45" spans="2:41" ht="25.5" hidden="1" customHeight="1" outlineLevel="1" x14ac:dyDescent="0.25">
      <c r="B45" s="263"/>
      <c r="C45" s="580"/>
      <c r="D45" s="263"/>
      <c r="E45" s="265"/>
      <c r="F45" s="41">
        <f t="shared" si="10"/>
        <v>0</v>
      </c>
      <c r="G45" s="266"/>
      <c r="H45" s="266"/>
      <c r="I45" s="494"/>
      <c r="J45" s="478"/>
      <c r="K45" s="824"/>
      <c r="L45" s="824"/>
      <c r="M45" s="824"/>
      <c r="N45" s="824"/>
      <c r="O45" s="824"/>
      <c r="P45" s="824"/>
      <c r="Q45" s="38">
        <f t="shared" si="11"/>
        <v>0</v>
      </c>
      <c r="R45" s="38">
        <f t="shared" si="12"/>
        <v>0</v>
      </c>
      <c r="S45" s="38">
        <f t="shared" si="13"/>
        <v>0</v>
      </c>
      <c r="T45" s="81">
        <f t="shared" si="14"/>
        <v>0</v>
      </c>
      <c r="U45" s="387">
        <f t="shared" si="15"/>
        <v>0</v>
      </c>
      <c r="V45" s="243">
        <f t="shared" si="16"/>
        <v>0</v>
      </c>
      <c r="W45" s="243">
        <f t="shared" si="17"/>
        <v>0</v>
      </c>
      <c r="X45" s="243">
        <f t="shared" si="18"/>
        <v>0</v>
      </c>
      <c r="Y45" s="244">
        <f t="shared" si="19"/>
        <v>0</v>
      </c>
      <c r="Z45" s="148"/>
      <c r="AA45" s="266"/>
      <c r="AB45" s="266"/>
      <c r="AC45" s="266"/>
      <c r="AD45" s="826"/>
      <c r="AE45" s="826"/>
      <c r="AF45" s="263"/>
      <c r="AG45" s="580"/>
      <c r="AH45" s="263"/>
      <c r="AI45" s="265"/>
      <c r="AJ45" s="41">
        <f t="shared" si="20"/>
        <v>0</v>
      </c>
      <c r="AK45"/>
      <c r="AL45"/>
      <c r="AO45" s="159"/>
    </row>
    <row r="46" spans="2:41" ht="25.5" hidden="1" customHeight="1" outlineLevel="1" x14ac:dyDescent="0.25">
      <c r="B46" s="263"/>
      <c r="C46" s="580"/>
      <c r="D46" s="263"/>
      <c r="E46" s="265"/>
      <c r="F46" s="41">
        <f t="shared" si="10"/>
        <v>0</v>
      </c>
      <c r="G46" s="266"/>
      <c r="H46" s="266"/>
      <c r="I46" s="494"/>
      <c r="J46" s="478"/>
      <c r="K46" s="824"/>
      <c r="L46" s="824"/>
      <c r="M46" s="824"/>
      <c r="N46" s="824"/>
      <c r="O46" s="824"/>
      <c r="P46" s="824"/>
      <c r="Q46" s="38">
        <f t="shared" si="11"/>
        <v>0</v>
      </c>
      <c r="R46" s="38">
        <f t="shared" si="12"/>
        <v>0</v>
      </c>
      <c r="S46" s="38">
        <f t="shared" si="13"/>
        <v>0</v>
      </c>
      <c r="T46" s="81">
        <f t="shared" si="14"/>
        <v>0</v>
      </c>
      <c r="U46" s="387">
        <f t="shared" si="15"/>
        <v>0</v>
      </c>
      <c r="V46" s="243">
        <f t="shared" si="16"/>
        <v>0</v>
      </c>
      <c r="W46" s="243">
        <f t="shared" si="17"/>
        <v>0</v>
      </c>
      <c r="X46" s="243">
        <f t="shared" si="18"/>
        <v>0</v>
      </c>
      <c r="Y46" s="244">
        <f t="shared" si="19"/>
        <v>0</v>
      </c>
      <c r="Z46" s="148"/>
      <c r="AA46" s="266"/>
      <c r="AB46" s="266"/>
      <c r="AC46" s="266"/>
      <c r="AD46" s="826"/>
      <c r="AE46" s="826"/>
      <c r="AF46" s="263"/>
      <c r="AG46" s="580"/>
      <c r="AH46" s="263"/>
      <c r="AI46" s="265"/>
      <c r="AJ46" s="41">
        <f t="shared" si="20"/>
        <v>0</v>
      </c>
      <c r="AK46"/>
      <c r="AL46"/>
      <c r="AO46" s="159"/>
    </row>
    <row r="47" spans="2:41" ht="25.5" hidden="1" customHeight="1" outlineLevel="1" x14ac:dyDescent="0.25">
      <c r="B47" s="263"/>
      <c r="C47" s="580"/>
      <c r="D47" s="263"/>
      <c r="E47" s="265"/>
      <c r="F47" s="41">
        <f t="shared" si="10"/>
        <v>0</v>
      </c>
      <c r="G47" s="266"/>
      <c r="H47" s="266"/>
      <c r="I47" s="494"/>
      <c r="J47" s="478"/>
      <c r="K47" s="824"/>
      <c r="L47" s="824"/>
      <c r="M47" s="824"/>
      <c r="N47" s="824"/>
      <c r="O47" s="824"/>
      <c r="P47" s="824"/>
      <c r="Q47" s="38">
        <f t="shared" si="11"/>
        <v>0</v>
      </c>
      <c r="R47" s="38">
        <f t="shared" si="12"/>
        <v>0</v>
      </c>
      <c r="S47" s="38">
        <f t="shared" si="13"/>
        <v>0</v>
      </c>
      <c r="T47" s="81">
        <f t="shared" si="14"/>
        <v>0</v>
      </c>
      <c r="U47" s="387">
        <f t="shared" si="15"/>
        <v>0</v>
      </c>
      <c r="V47" s="243">
        <f t="shared" si="16"/>
        <v>0</v>
      </c>
      <c r="W47" s="243">
        <f t="shared" si="17"/>
        <v>0</v>
      </c>
      <c r="X47" s="243">
        <f t="shared" si="18"/>
        <v>0</v>
      </c>
      <c r="Y47" s="244">
        <f t="shared" si="19"/>
        <v>0</v>
      </c>
      <c r="Z47" s="148"/>
      <c r="AA47" s="266"/>
      <c r="AB47" s="266"/>
      <c r="AC47" s="266"/>
      <c r="AD47" s="826"/>
      <c r="AE47" s="826"/>
      <c r="AF47" s="263"/>
      <c r="AG47" s="580"/>
      <c r="AH47" s="263"/>
      <c r="AI47" s="265"/>
      <c r="AJ47" s="41">
        <f t="shared" si="20"/>
        <v>0</v>
      </c>
      <c r="AK47"/>
      <c r="AL47"/>
      <c r="AO47" s="159"/>
    </row>
    <row r="48" spans="2:41" ht="25.5" hidden="1" customHeight="1" outlineLevel="1" x14ac:dyDescent="0.25">
      <c r="B48" s="263"/>
      <c r="C48" s="580"/>
      <c r="D48" s="263"/>
      <c r="E48" s="265"/>
      <c r="F48" s="41">
        <f t="shared" si="10"/>
        <v>0</v>
      </c>
      <c r="G48" s="266"/>
      <c r="H48" s="266"/>
      <c r="I48" s="494"/>
      <c r="J48" s="478"/>
      <c r="K48" s="824"/>
      <c r="L48" s="824"/>
      <c r="M48" s="824"/>
      <c r="N48" s="824"/>
      <c r="O48" s="824"/>
      <c r="P48" s="824"/>
      <c r="Q48" s="38">
        <f t="shared" si="11"/>
        <v>0</v>
      </c>
      <c r="R48" s="38">
        <f t="shared" si="12"/>
        <v>0</v>
      </c>
      <c r="S48" s="38">
        <f t="shared" si="13"/>
        <v>0</v>
      </c>
      <c r="T48" s="81">
        <f t="shared" si="14"/>
        <v>0</v>
      </c>
      <c r="U48" s="387">
        <f t="shared" si="15"/>
        <v>0</v>
      </c>
      <c r="V48" s="243">
        <f t="shared" si="16"/>
        <v>0</v>
      </c>
      <c r="W48" s="243">
        <f t="shared" si="17"/>
        <v>0</v>
      </c>
      <c r="X48" s="243">
        <f t="shared" si="18"/>
        <v>0</v>
      </c>
      <c r="Y48" s="244">
        <f t="shared" si="19"/>
        <v>0</v>
      </c>
      <c r="Z48" s="148"/>
      <c r="AA48" s="266"/>
      <c r="AB48" s="266"/>
      <c r="AC48" s="266"/>
      <c r="AD48" s="826"/>
      <c r="AE48" s="826"/>
      <c r="AF48" s="263"/>
      <c r="AG48" s="580"/>
      <c r="AH48" s="263"/>
      <c r="AI48" s="265"/>
      <c r="AJ48" s="41">
        <f t="shared" si="20"/>
        <v>0</v>
      </c>
      <c r="AK48"/>
      <c r="AL48"/>
      <c r="AO48" s="159"/>
    </row>
    <row r="49" spans="2:42" ht="25.5" hidden="1" customHeight="1" outlineLevel="1" x14ac:dyDescent="0.25">
      <c r="B49" s="263"/>
      <c r="C49" s="580"/>
      <c r="D49" s="263"/>
      <c r="E49" s="265"/>
      <c r="F49" s="41">
        <f t="shared" si="10"/>
        <v>0</v>
      </c>
      <c r="G49" s="266"/>
      <c r="H49" s="266"/>
      <c r="I49" s="494"/>
      <c r="J49" s="478"/>
      <c r="K49" s="824"/>
      <c r="L49" s="824"/>
      <c r="M49" s="824"/>
      <c r="N49" s="824"/>
      <c r="O49" s="824"/>
      <c r="P49" s="824"/>
      <c r="Q49" s="38">
        <f t="shared" si="11"/>
        <v>0</v>
      </c>
      <c r="R49" s="38">
        <f t="shared" si="12"/>
        <v>0</v>
      </c>
      <c r="S49" s="38">
        <f t="shared" si="13"/>
        <v>0</v>
      </c>
      <c r="T49" s="81">
        <f t="shared" si="14"/>
        <v>0</v>
      </c>
      <c r="U49" s="387">
        <f t="shared" si="15"/>
        <v>0</v>
      </c>
      <c r="V49" s="243">
        <f t="shared" si="16"/>
        <v>0</v>
      </c>
      <c r="W49" s="243">
        <f t="shared" si="17"/>
        <v>0</v>
      </c>
      <c r="X49" s="243">
        <f t="shared" si="18"/>
        <v>0</v>
      </c>
      <c r="Y49" s="244">
        <f t="shared" si="19"/>
        <v>0</v>
      </c>
      <c r="Z49" s="148"/>
      <c r="AA49" s="266"/>
      <c r="AB49" s="266"/>
      <c r="AC49" s="266"/>
      <c r="AD49" s="826"/>
      <c r="AE49" s="826"/>
      <c r="AF49" s="263"/>
      <c r="AG49" s="580"/>
      <c r="AH49" s="263"/>
      <c r="AI49" s="265"/>
      <c r="AJ49" s="41">
        <f t="shared" si="20"/>
        <v>0</v>
      </c>
      <c r="AK49"/>
      <c r="AL49"/>
      <c r="AO49" s="159"/>
    </row>
    <row r="50" spans="2:42" ht="25.5" hidden="1" customHeight="1" outlineLevel="1" x14ac:dyDescent="0.25">
      <c r="B50" s="263"/>
      <c r="C50" s="580"/>
      <c r="D50" s="263"/>
      <c r="E50" s="265"/>
      <c r="F50" s="41">
        <f t="shared" si="10"/>
        <v>0</v>
      </c>
      <c r="G50" s="266"/>
      <c r="H50" s="266"/>
      <c r="I50" s="494"/>
      <c r="J50" s="478"/>
      <c r="K50" s="824"/>
      <c r="L50" s="824"/>
      <c r="M50" s="824"/>
      <c r="N50" s="824"/>
      <c r="O50" s="824"/>
      <c r="P50" s="824"/>
      <c r="Q50" s="38">
        <f t="shared" si="11"/>
        <v>0</v>
      </c>
      <c r="R50" s="38">
        <f t="shared" si="12"/>
        <v>0</v>
      </c>
      <c r="S50" s="38">
        <f t="shared" si="13"/>
        <v>0</v>
      </c>
      <c r="T50" s="81">
        <f t="shared" si="14"/>
        <v>0</v>
      </c>
      <c r="U50" s="387">
        <f t="shared" si="15"/>
        <v>0</v>
      </c>
      <c r="V50" s="243">
        <f t="shared" si="16"/>
        <v>0</v>
      </c>
      <c r="W50" s="243">
        <f t="shared" si="17"/>
        <v>0</v>
      </c>
      <c r="X50" s="243">
        <f t="shared" si="18"/>
        <v>0</v>
      </c>
      <c r="Y50" s="244">
        <f t="shared" si="19"/>
        <v>0</v>
      </c>
      <c r="Z50" s="148"/>
      <c r="AA50" s="266"/>
      <c r="AB50" s="266"/>
      <c r="AC50" s="266"/>
      <c r="AD50" s="826"/>
      <c r="AE50" s="826"/>
      <c r="AF50" s="263"/>
      <c r="AG50" s="580"/>
      <c r="AH50" s="263"/>
      <c r="AI50" s="265"/>
      <c r="AJ50" s="41">
        <f t="shared" si="20"/>
        <v>0</v>
      </c>
      <c r="AK50"/>
      <c r="AL50"/>
      <c r="AO50" s="159"/>
    </row>
    <row r="51" spans="2:42" ht="25.5" hidden="1" customHeight="1" outlineLevel="1" x14ac:dyDescent="0.25">
      <c r="B51" s="263"/>
      <c r="C51" s="580"/>
      <c r="D51" s="263"/>
      <c r="E51" s="265"/>
      <c r="F51" s="41">
        <f t="shared" si="10"/>
        <v>0</v>
      </c>
      <c r="G51" s="266"/>
      <c r="H51" s="266"/>
      <c r="I51" s="494"/>
      <c r="J51" s="478"/>
      <c r="K51" s="824"/>
      <c r="L51" s="824"/>
      <c r="M51" s="824"/>
      <c r="N51" s="824"/>
      <c r="O51" s="824"/>
      <c r="P51" s="824"/>
      <c r="Q51" s="38">
        <f t="shared" si="11"/>
        <v>0</v>
      </c>
      <c r="R51" s="38">
        <f t="shared" si="12"/>
        <v>0</v>
      </c>
      <c r="S51" s="38">
        <f t="shared" si="13"/>
        <v>0</v>
      </c>
      <c r="T51" s="81">
        <f t="shared" si="14"/>
        <v>0</v>
      </c>
      <c r="U51" s="387">
        <f t="shared" si="15"/>
        <v>0</v>
      </c>
      <c r="V51" s="243">
        <f t="shared" si="16"/>
        <v>0</v>
      </c>
      <c r="W51" s="243">
        <f t="shared" si="17"/>
        <v>0</v>
      </c>
      <c r="X51" s="243">
        <f t="shared" si="18"/>
        <v>0</v>
      </c>
      <c r="Y51" s="244">
        <f t="shared" si="19"/>
        <v>0</v>
      </c>
      <c r="Z51" s="148"/>
      <c r="AA51" s="266"/>
      <c r="AB51" s="266"/>
      <c r="AC51" s="266"/>
      <c r="AD51" s="826"/>
      <c r="AE51" s="826"/>
      <c r="AF51" s="263"/>
      <c r="AG51" s="580"/>
      <c r="AH51" s="263"/>
      <c r="AI51" s="265"/>
      <c r="AJ51" s="41">
        <f t="shared" si="20"/>
        <v>0</v>
      </c>
      <c r="AK51"/>
      <c r="AL51"/>
      <c r="AO51" s="159"/>
    </row>
    <row r="52" spans="2:42" ht="25.5" hidden="1" customHeight="1" outlineLevel="1" x14ac:dyDescent="0.25">
      <c r="B52" s="263"/>
      <c r="C52" s="580"/>
      <c r="D52" s="263"/>
      <c r="E52" s="265"/>
      <c r="F52" s="41">
        <f t="shared" si="10"/>
        <v>0</v>
      </c>
      <c r="G52" s="266"/>
      <c r="H52" s="266"/>
      <c r="I52" s="494"/>
      <c r="J52" s="478"/>
      <c r="K52" s="824"/>
      <c r="L52" s="824"/>
      <c r="M52" s="824"/>
      <c r="N52" s="824"/>
      <c r="O52" s="824"/>
      <c r="P52" s="824"/>
      <c r="Q52" s="38">
        <f t="shared" si="11"/>
        <v>0</v>
      </c>
      <c r="R52" s="38">
        <f t="shared" si="12"/>
        <v>0</v>
      </c>
      <c r="S52" s="38">
        <f t="shared" si="13"/>
        <v>0</v>
      </c>
      <c r="T52" s="81">
        <f t="shared" si="14"/>
        <v>0</v>
      </c>
      <c r="U52" s="387">
        <f t="shared" si="15"/>
        <v>0</v>
      </c>
      <c r="V52" s="243">
        <f t="shared" si="16"/>
        <v>0</v>
      </c>
      <c r="W52" s="243">
        <f t="shared" si="17"/>
        <v>0</v>
      </c>
      <c r="X52" s="243">
        <f t="shared" si="18"/>
        <v>0</v>
      </c>
      <c r="Y52" s="244">
        <f t="shared" si="19"/>
        <v>0</v>
      </c>
      <c r="Z52" s="148"/>
      <c r="AA52" s="266"/>
      <c r="AB52" s="266"/>
      <c r="AC52" s="266"/>
      <c r="AD52" s="826"/>
      <c r="AE52" s="826"/>
      <c r="AF52" s="263"/>
      <c r="AG52" s="580"/>
      <c r="AH52" s="263"/>
      <c r="AI52" s="265"/>
      <c r="AJ52" s="41">
        <f t="shared" si="20"/>
        <v>0</v>
      </c>
      <c r="AK52"/>
      <c r="AL52"/>
      <c r="AO52" s="159"/>
    </row>
    <row r="53" spans="2:42" ht="25.5" hidden="1" customHeight="1" outlineLevel="1" x14ac:dyDescent="0.25">
      <c r="B53" s="263"/>
      <c r="C53" s="580"/>
      <c r="D53" s="263"/>
      <c r="E53" s="265"/>
      <c r="F53" s="41">
        <f t="shared" si="10"/>
        <v>0</v>
      </c>
      <c r="G53" s="266"/>
      <c r="H53" s="266"/>
      <c r="I53" s="494"/>
      <c r="J53" s="478"/>
      <c r="K53" s="824"/>
      <c r="L53" s="824"/>
      <c r="M53" s="824"/>
      <c r="N53" s="824"/>
      <c r="O53" s="824"/>
      <c r="P53" s="824"/>
      <c r="Q53" s="38">
        <f t="shared" si="11"/>
        <v>0</v>
      </c>
      <c r="R53" s="38">
        <f t="shared" si="12"/>
        <v>0</v>
      </c>
      <c r="S53" s="38">
        <f t="shared" si="13"/>
        <v>0</v>
      </c>
      <c r="T53" s="81">
        <f t="shared" si="14"/>
        <v>0</v>
      </c>
      <c r="U53" s="388">
        <f t="shared" si="15"/>
        <v>0</v>
      </c>
      <c r="V53" s="243">
        <f t="shared" si="16"/>
        <v>0</v>
      </c>
      <c r="W53" s="243">
        <f t="shared" si="17"/>
        <v>0</v>
      </c>
      <c r="X53" s="243">
        <f t="shared" si="18"/>
        <v>0</v>
      </c>
      <c r="Y53" s="244">
        <f t="shared" si="19"/>
        <v>0</v>
      </c>
      <c r="Z53" s="148"/>
      <c r="AA53" s="266"/>
      <c r="AB53" s="266"/>
      <c r="AC53" s="266"/>
      <c r="AD53" s="826"/>
      <c r="AE53" s="826"/>
      <c r="AF53" s="263"/>
      <c r="AG53" s="580"/>
      <c r="AH53" s="263"/>
      <c r="AI53" s="265"/>
      <c r="AJ53" s="41">
        <f t="shared" si="20"/>
        <v>0</v>
      </c>
      <c r="AK53"/>
      <c r="AL53"/>
      <c r="AO53" s="159"/>
      <c r="AP53" s="40"/>
    </row>
    <row r="54" spans="2:42" customFormat="1" ht="33.75" customHeight="1" collapsed="1" x14ac:dyDescent="0.25">
      <c r="B54" s="827" t="s">
        <v>152</v>
      </c>
      <c r="C54" s="827"/>
      <c r="D54" s="827"/>
      <c r="E54" s="827"/>
      <c r="F54" s="827"/>
      <c r="G54" s="827"/>
      <c r="H54" s="827"/>
      <c r="I54" s="827"/>
      <c r="J54" s="827"/>
      <c r="K54" s="827"/>
      <c r="L54" s="827"/>
      <c r="M54" s="827"/>
      <c r="N54" s="827"/>
      <c r="O54" s="827"/>
      <c r="P54" s="827"/>
      <c r="Q54" s="390">
        <f t="shared" ref="Q54:T54" si="21">SUM(Q34:Q53)</f>
        <v>0</v>
      </c>
      <c r="R54" s="390">
        <f t="shared" si="21"/>
        <v>0</v>
      </c>
      <c r="S54" s="391">
        <f t="shared" si="21"/>
        <v>0</v>
      </c>
      <c r="T54" s="391">
        <f t="shared" si="21"/>
        <v>0</v>
      </c>
      <c r="U54" s="392"/>
      <c r="V54" s="393">
        <f>SUM(V34:V53)</f>
        <v>0</v>
      </c>
      <c r="W54" s="393">
        <f>SUM(W34:W53)</f>
        <v>0</v>
      </c>
      <c r="X54" s="393">
        <f>SUM(X34:X53)</f>
        <v>0</v>
      </c>
      <c r="Y54" s="393">
        <f>SUM(Y34:Y53)</f>
        <v>0</v>
      </c>
      <c r="Z54" s="394"/>
      <c r="AA54" s="828" t="s">
        <v>153</v>
      </c>
      <c r="AB54" s="828"/>
      <c r="AC54" s="828"/>
      <c r="AD54" s="828"/>
      <c r="AE54" s="828"/>
      <c r="AF54" s="828"/>
      <c r="AG54" s="828"/>
      <c r="AH54" s="828"/>
      <c r="AI54" s="828"/>
      <c r="AJ54" s="828"/>
      <c r="AK54" s="828"/>
      <c r="AL54" s="828"/>
      <c r="AM54" s="828"/>
      <c r="AN54" s="828"/>
      <c r="AO54" s="829"/>
      <c r="AP54" s="221"/>
    </row>
    <row r="55" spans="2:42" ht="51" customHeight="1" thickBot="1" x14ac:dyDescent="0.35">
      <c r="B55" s="793" t="s">
        <v>154</v>
      </c>
      <c r="C55" s="793"/>
      <c r="D55" s="793"/>
      <c r="E55" s="793"/>
      <c r="F55" s="793"/>
      <c r="G55" s="793"/>
      <c r="H55" s="793"/>
      <c r="I55" s="793"/>
      <c r="J55" s="830"/>
      <c r="K55" s="793"/>
      <c r="L55" s="793"/>
      <c r="M55" s="793"/>
      <c r="N55" s="830"/>
      <c r="O55" s="830"/>
      <c r="P55" s="793"/>
      <c r="Q55" s="793"/>
      <c r="R55" s="793"/>
      <c r="S55" s="793"/>
      <c r="T55" s="793"/>
      <c r="U55" s="239"/>
      <c r="V55" s="696" t="s">
        <v>155</v>
      </c>
      <c r="W55" s="696"/>
      <c r="X55" s="696"/>
      <c r="Y55" s="696"/>
      <c r="Z55" s="696"/>
      <c r="AA55" s="696"/>
      <c r="AB55" s="696"/>
      <c r="AC55" s="696"/>
      <c r="AD55" s="696"/>
      <c r="AE55" s="696"/>
      <c r="AF55" s="696"/>
      <c r="AG55" s="696"/>
      <c r="AH55" s="696"/>
      <c r="AI55" s="696"/>
      <c r="AJ55" s="696"/>
      <c r="AK55" s="696"/>
      <c r="AL55" s="696"/>
      <c r="AM55" s="696"/>
      <c r="AN55" s="696"/>
      <c r="AO55" s="696"/>
    </row>
    <row r="56" spans="2:42" ht="46.5" customHeight="1" thickTop="1" x14ac:dyDescent="0.25">
      <c r="B56" s="66" t="s">
        <v>156</v>
      </c>
      <c r="C56" s="66" t="s">
        <v>116</v>
      </c>
      <c r="D56" s="66" t="s">
        <v>76</v>
      </c>
      <c r="E56" s="65" t="s">
        <v>141</v>
      </c>
      <c r="F56" s="65"/>
      <c r="G56" s="143" t="s">
        <v>157</v>
      </c>
      <c r="H56" s="143" t="s">
        <v>158</v>
      </c>
      <c r="I56" s="143" t="s">
        <v>159</v>
      </c>
      <c r="J56" s="213"/>
      <c r="K56" s="65" t="s">
        <v>119</v>
      </c>
      <c r="L56" s="65" t="s">
        <v>120</v>
      </c>
      <c r="M56" s="65" t="s">
        <v>121</v>
      </c>
      <c r="N56" s="65"/>
      <c r="O56" s="65"/>
      <c r="P56"/>
      <c r="Q56" s="64" t="s">
        <v>123</v>
      </c>
      <c r="R56" s="64" t="s">
        <v>124</v>
      </c>
      <c r="S56" s="64" t="s">
        <v>125</v>
      </c>
      <c r="T56" s="238" t="s">
        <v>110</v>
      </c>
      <c r="U56" s="371"/>
      <c r="V56" s="67" t="s">
        <v>123</v>
      </c>
      <c r="W56" s="67" t="s">
        <v>124</v>
      </c>
      <c r="X56" s="67" t="s">
        <v>125</v>
      </c>
      <c r="Y56" s="395" t="s">
        <v>126</v>
      </c>
      <c r="AA56" s="65" t="s">
        <v>160</v>
      </c>
      <c r="AB56" s="65" t="s">
        <v>161</v>
      </c>
      <c r="AC56" s="65" t="s">
        <v>162</v>
      </c>
      <c r="AF56" s="66" t="s">
        <v>156</v>
      </c>
      <c r="AG56" s="66" t="s">
        <v>116</v>
      </c>
      <c r="AH56" s="66" t="s">
        <v>76</v>
      </c>
      <c r="AI56" s="65" t="s">
        <v>141</v>
      </c>
      <c r="AL56" s="65" t="s">
        <v>119</v>
      </c>
      <c r="AM56" s="65" t="s">
        <v>120</v>
      </c>
      <c r="AN56" s="65" t="s">
        <v>121</v>
      </c>
      <c r="AO56" s="159"/>
      <c r="AP56" s="40"/>
    </row>
    <row r="57" spans="2:42" ht="25.5" customHeight="1" x14ac:dyDescent="0.25">
      <c r="B57" s="263"/>
      <c r="C57" s="581" t="s">
        <v>163</v>
      </c>
      <c r="D57" s="211" t="s">
        <v>164</v>
      </c>
      <c r="E57" s="267"/>
      <c r="F57" s="146"/>
      <c r="G57" s="264"/>
      <c r="H57" s="264"/>
      <c r="I57" s="495"/>
      <c r="J57" s="213"/>
      <c r="K57" s="144" cm="1">
        <f t="array" ref="K57">_xlfn.IFS($D$57="Full Year", ROUND((((G57*(52/12)*8.77)/1520)*8.77)*2,2),
$D$57="Fall",ROUND((((G57*(((52/12)*8.77)/1520)*8.77))/2)*2,2),
$D$57="Spring",(ROUND((((G57*(((52/12)*8.77)/1520)*8.77))/2)*2,2)))</f>
        <v>0</v>
      </c>
      <c r="L57" s="144" cm="1">
        <f t="array" ref="L57">_xlfn.IFS($D$57="Full Year", ROUND((((H57*(52/12)*8.77)/1520)*8.77)*2,2),
$D$57="Fall",ROUND((((H57*(((52/12)*8.77)/1520)*8.77))/2)*2,2),
$D$57="Spring",(ROUND((((H57*(((52/12)*8.77)/1520)*8.77))/2)*2,2)))</f>
        <v>0</v>
      </c>
      <c r="M57" s="506" cm="1">
        <f t="array" ref="M57">_xlfn.IFS($D$57="Full Year", ROUND((((I57*(52/12)*8.77)/1520)*8.77)*2,2),
$D$57="Fall",ROUND((((I57*(((52/12)*8.77)/1520)*8.77))/2)*2,2),
$D$57="Spring",(ROUND((((I57*(((52/12)*8.77)/1520)*8.77))/2)*2,2)))</f>
        <v>0</v>
      </c>
      <c r="N57" s="504"/>
      <c r="O57" s="504"/>
      <c r="P57"/>
      <c r="Q57" s="80" cm="1">
        <f t="array" ref="Q57">_xlfn.IFS($D$57="Full year", ((($E$57*8.77/760*G57*38)*$B$57)*1.03^G$2),
$D$57="Fall", ((($E$57*8.77/760*G57*19)*$B$57)*1.03^G$2),
$D$57="Spring",(($E$57*8.77/760*G57*19)*$B$57)*1.03^G$2)</f>
        <v>0</v>
      </c>
      <c r="R57" s="80" cm="1">
        <f t="array" ref="R57">_xlfn.IFS($D$57="Full year", ((($E$57*8.77/760*H57*38)*$B$57)*1.03^H$2),
$D$57="Fall", ((($E$57*8.77/760*H57*19)*$B$57)*1.03^H$2),
$D$57="Spring",(($E$57*8.77/760*H57*19)*$B$57)*1.03^H$2)</f>
        <v>0</v>
      </c>
      <c r="S57" s="80" cm="1">
        <f t="array" ref="S57">_xlfn.IFS($D$57="Full year", ((($E$57*8.77/760*I57*38)*$B$57)*1.03^I$2),
$D$57="Fall", ((($E$57*8.77/760*I57*19)*$B$57)*1.03^I$2),
$D$57="Spring",(($E$57*8.77/760*I57*19)*$B$57)*1.03^I$2)</f>
        <v>0</v>
      </c>
      <c r="T57" s="82">
        <f t="shared" ref="T57:T66" si="22">SUM(Q57:S57)</f>
        <v>0</v>
      </c>
      <c r="U57" s="387">
        <f t="shared" ref="U57:U68" si="23">T57+Y57</f>
        <v>0</v>
      </c>
      <c r="V57" s="241" cm="1">
        <f t="array" ref="V57">_xlfn.IFS($AH$57="Full year", ((($AI$57*8.77/760*AA57*38)*$AF$57)*1.03^G$2),
 $AH$57="Fall", ((($AI$57*8.77/760*AA57*19)*$AF$57)*1.03^G$2),
$AH$57="Spring",(($AI$57*8.77/760*AA57*19)*$AF$57)*1.03^G$2)</f>
        <v>0</v>
      </c>
      <c r="W57" s="241" cm="1">
        <f t="array" ref="W57">_xlfn.IFS($AH$57="Full year", ((($AI$57*8.77/760*AB57*38)*$AF$57)*1.03^H$2),
 $AH$57="Fall", ((($AI$57*8.77/760*AB57*19)*$AF$57)*1.03^H$2),
$AH$57="Spring",(($AI$57*8.77/760*AB57*19)*AF$57)*1.03^H$2)</f>
        <v>0</v>
      </c>
      <c r="X57" s="241" cm="1">
        <f t="array" ref="X57">_xlfn.IFS($AH$57="Full year", ((($AI$57*8.77/760*AC57*38)*$AF$57)*1.03^I$2),
 $AH$57="Fall", ((($AI$57*8.77/760*AC57*19)*$AF$57)*1.03^I$2),
$AH$57="Spring",(($AI$57*8.77/760*AC57*19)*$AF$57)*1.03^I$2)</f>
        <v>0</v>
      </c>
      <c r="Y57" s="245">
        <f t="shared" ref="Y57:Y66" si="24">SUM(V57:X57)</f>
        <v>0</v>
      </c>
      <c r="Z57" s="148"/>
      <c r="AA57" s="263"/>
      <c r="AB57" s="263"/>
      <c r="AC57" s="263"/>
      <c r="AF57" s="263"/>
      <c r="AG57" s="581" t="s">
        <v>165</v>
      </c>
      <c r="AH57" s="211" t="s">
        <v>166</v>
      </c>
      <c r="AI57" s="267"/>
      <c r="AL57" s="199" cm="1">
        <f t="array" ref="AL57">_xlfn.IFS($AH$57="Full Year", ROUND((((AA57*(52/12)*8.77)/1520)*8.77)*2,2),
$AH$57="Fall",ROUND((((AA57*(((52/12)*8.77)/1520)*8.77))/2)*2,2),
$AH$57="Spring",(ROUND((((AA57*(((52/12)*8.77)/1520)*8.77))/2)*2,2)))</f>
        <v>0</v>
      </c>
      <c r="AM57" s="144" cm="1">
        <f t="array" ref="AM57">_xlfn.IFS($AH$57="Full Year", ROUND((((AB57*(52/12)*8.77)/1520)*8.77)*2,2),
$AH$57="Fall",ROUND((((AB57*(((52/12)*8.77)/1520)*8.77))/2)*2,2),
$AH$57="Spring",(ROUND((((AB57*(((52/12)*8.77)/1520)*8.77))/2)*2,2)))</f>
        <v>0</v>
      </c>
      <c r="AN57" s="144" cm="1">
        <f t="array" ref="AN57">_xlfn.IFS($AH$57="Full Year", ROUND((((AC57*(52/12)*8.77)/1520)*8.77)*2,2),
$AH$57="Fall",ROUND((((AC57*(((52/12)*8.77)/1520)*8.77))/2)*2,2),
$AH$57="Spring",(ROUND((((AC57*(((52/12)*8.77)/1520)*8.77))/2)*2,2)))</f>
        <v>0</v>
      </c>
      <c r="AO57" s="159"/>
      <c r="AP57" s="162"/>
    </row>
    <row r="58" spans="2:42" ht="25.5" customHeight="1" thickBot="1" x14ac:dyDescent="0.3">
      <c r="B58" s="298"/>
      <c r="C58" s="582"/>
      <c r="D58" s="43" t="s">
        <v>167</v>
      </c>
      <c r="E58" s="300"/>
      <c r="F58" s="146"/>
      <c r="G58" s="302"/>
      <c r="H58" s="302"/>
      <c r="I58" s="496"/>
      <c r="J58" s="213"/>
      <c r="K58" s="144">
        <f>ROUND(((G58*(52/12)*3.23)/560)*3.23,2)</f>
        <v>0</v>
      </c>
      <c r="L58" s="144">
        <f>ROUND(((H58*(52/12)*3.23)/560)*3.23,2)</f>
        <v>0</v>
      </c>
      <c r="M58" s="506">
        <f>ROUND(((I58*(52/12)*3.23)/560)*3.23,2)</f>
        <v>0</v>
      </c>
      <c r="N58" s="504"/>
      <c r="O58" s="504"/>
      <c r="P58"/>
      <c r="Q58" s="305">
        <f>(($E$58*3.23/560*G58*14)*$B$58)*1.03^G$2</f>
        <v>0</v>
      </c>
      <c r="R58" s="305">
        <f>(($E$58*3.23/560*H58*14)*$B$58)*1.03^H$2</f>
        <v>0</v>
      </c>
      <c r="S58" s="305">
        <f>(($E$58*3.23/560*I58*14)*$B$58)*1.03^I$2</f>
        <v>0</v>
      </c>
      <c r="T58" s="306">
        <f t="shared" si="22"/>
        <v>0</v>
      </c>
      <c r="U58" s="387">
        <f t="shared" si="23"/>
        <v>0</v>
      </c>
      <c r="V58" s="311">
        <f>(($AI$58*8.77/760*AA58*14)*$AF$58)*1.03^G$2</f>
        <v>0</v>
      </c>
      <c r="W58" s="311">
        <f>(($AI$58*8.77/760*AB58*14)*$AF$58)*1.03^H$2</f>
        <v>0</v>
      </c>
      <c r="X58" s="311">
        <f>(($AI$58*8.77/760*AC58*14)*$AF$58)*1.03^I$2</f>
        <v>0</v>
      </c>
      <c r="Y58" s="312">
        <f t="shared" si="24"/>
        <v>0</v>
      </c>
      <c r="Z58" s="148"/>
      <c r="AA58" s="298"/>
      <c r="AB58" s="298"/>
      <c r="AC58" s="298"/>
      <c r="AF58" s="298"/>
      <c r="AG58" s="582"/>
      <c r="AH58" s="43" t="s">
        <v>167</v>
      </c>
      <c r="AI58" s="300"/>
      <c r="AL58" s="199">
        <f>ROUND(((AA58*(52/12)*3.23)/560)*3.23,2)</f>
        <v>0</v>
      </c>
      <c r="AM58" s="144">
        <f>ROUND(((AB58*(52/12)*3.23)/560)*3.23,2)</f>
        <v>0</v>
      </c>
      <c r="AN58" s="144">
        <f>ROUND(((AC58*(52/12)*3.23)/560)*3.23,2)</f>
        <v>0</v>
      </c>
      <c r="AO58" s="159"/>
    </row>
    <row r="59" spans="2:42" ht="25.5" hidden="1" customHeight="1" outlineLevel="1" x14ac:dyDescent="0.25">
      <c r="B59" s="297"/>
      <c r="C59" s="581" t="s">
        <v>168</v>
      </c>
      <c r="D59" s="211" t="s">
        <v>166</v>
      </c>
      <c r="E59" s="299"/>
      <c r="F59" s="146"/>
      <c r="G59" s="301"/>
      <c r="H59" s="301"/>
      <c r="I59" s="497"/>
      <c r="J59" s="213"/>
      <c r="K59" s="144" cm="1">
        <f t="array" ref="K59">_xlfn.IFS($D$59="Full Year", ROUND((((G59*(52/12)*8.77)/1520)*8.77)*2,2),
$D$59="Fall",ROUND((((G59*(((52/12)*8.77)/1520)*8.77))/2)*2,2),
$D$59="Spring",(ROUND((((G59*(((52/12)*8.77)/1520)*8.77))/2)*2,2)))</f>
        <v>0</v>
      </c>
      <c r="L59" s="144" cm="1">
        <f t="array" ref="L59">_xlfn.IFS($D$59="Full Year", ROUND((((H59*(52/12)*8.77)/1520)*8.77)*2,2),
$D$59="Fall",ROUND((((H59*(((52/12)*8.77)/1520)*8.77))/2)*2,2),
$D$59="Spring",(ROUND((((H59*(((52/12)*8.77)/1520)*8.77))/2)*2,2)))</f>
        <v>0</v>
      </c>
      <c r="M59" s="506" cm="1">
        <f t="array" ref="M59">_xlfn.IFS($D$59="Full Year", ROUND((((I59*(52/12)*8.77)/1520)*8.77)*2,2),
$D$59="Fall",ROUND((((I59*(((52/12)*8.77)/1520)*8.77))/2)*2,2),
$D$59="Spring",(ROUND((((I59*(((52/12)*8.77)/1520)*8.77))/2)*2,2)))</f>
        <v>0</v>
      </c>
      <c r="N59" s="504"/>
      <c r="O59" s="504"/>
      <c r="P59"/>
      <c r="Q59" s="303" cm="1">
        <f t="array" ref="Q59">_xlfn.IFS($D$59="Full year", ((($E$59*8.77/760*G59*38)*$B$59)*1.03^G$2),
$D$59="Fall", ((($E$59*8.77/760*G59*19)*$B$59)*1.03^G$2),
$D$59="Spring",(($E$59*8.77/760*G59*19)*$B$59)*1.03^G$2)</f>
        <v>0</v>
      </c>
      <c r="R59" s="303" cm="1">
        <f t="array" ref="R59">_xlfn.IFS($D$59="Full year", ((($E$59*8.77/760*H59*38)*$B$59)*1.03^H$2),
$D$59="Fall", ((($E$59*8.77/760*H59*19)*$B$59)*1.03^H$2),
$D$59="Spring",(($E$59*8.77/760*H59*19)*$B$59)*1.03^H$2)</f>
        <v>0</v>
      </c>
      <c r="S59" s="303" cm="1">
        <f t="array" ref="S59">_xlfn.IFS($D$59="Full year", ((($E$59*8.77/760*I59*38)*$B$59)*1.03^I$2),
$D$59="Fall", ((($E$59*8.77/760*I59*19)*$B$59)*1.03^I$2),
$D$59="Spring",(($E$59*8.77/760*I59*19)*$B$59)*1.03^I$2)</f>
        <v>0</v>
      </c>
      <c r="T59" s="304">
        <f t="shared" si="22"/>
        <v>0</v>
      </c>
      <c r="U59" s="387">
        <f t="shared" si="23"/>
        <v>0</v>
      </c>
      <c r="V59" s="309" cm="1">
        <f t="array" ref="V59">_xlfn.IFS($AH$59="Full year", ((($AI$59*8.77/760*AA59*38)*$AF$59)*1.03^G$2),
$AH$59="Fall", ((($AI$59*8.77/760*AA59*19)*$AF$59)*1.03^G$2),
$AH$59="Spring",(($AI$59*8.77/760*AA59*19)*$AF$59)*1.03^G$2)</f>
        <v>0</v>
      </c>
      <c r="W59" s="309" cm="1">
        <f t="array" ref="W59">_xlfn.IFS($AH$59="Full year", ((($AI$59*8.77/760*AB59*38)*$AF$59)*1.03^H$2),
 $AH$59="Fall", ((($AI$59*8.77/760*AB59*19)*$AF$59)*1.03^H$2),
$AH$59="Spring",(($AI$59*8.77/760*AB59*19)*AF$59)*1.03^H$2)</f>
        <v>0</v>
      </c>
      <c r="X59" s="309" cm="1">
        <f t="array" ref="X59">_xlfn.IFS($AH$59="Full year", ((($AI$59*8.77/760*AC59*38)*$AF$59)*1.03^I$2),
 $AH$59="Fall", ((($AI$59*8.77/760*AC59*19)*$AF$59)*1.03^I$2),
$AH$59="Spring",(($AI$59*8.77/760*AC59*19)*$AF$59)*1.03^I$2)</f>
        <v>0</v>
      </c>
      <c r="Y59" s="310">
        <f t="shared" si="24"/>
        <v>0</v>
      </c>
      <c r="Z59" s="148"/>
      <c r="AA59" s="297"/>
      <c r="AB59" s="297"/>
      <c r="AC59" s="297"/>
      <c r="AF59" s="297"/>
      <c r="AG59" s="581" t="s">
        <v>169</v>
      </c>
      <c r="AH59" s="211" t="s">
        <v>170</v>
      </c>
      <c r="AI59" s="299"/>
      <c r="AL59" s="199" cm="1">
        <f t="array" ref="AL59">_xlfn.IFS($AH$59="Full Year", ROUND((((AA59*(52/12)*8.77)/1520)*8.77)*2,2),
$AH$59="Fall", ROUND((((AA59*(((52/12)*8.77)/1520)*8.77))/2)*2,2),
$AH$59="Spring",(ROUND((((AA59*(((52/12)*8.77)/1520)*8.77))/2)*2,2)))</f>
        <v>0</v>
      </c>
      <c r="AM59" s="144" cm="1">
        <f t="array" ref="AM59">_xlfn.IFS($AH$59="Full Year", ROUND((((AB59*(52/12)*8.77)/1520)*8.77)*2,2),
$AH$59="Fall", ROUND((((AB59*(((52/12)*8.77)/1520)*8.77))/2)*2,2),
$AH$59="Spring",(ROUND((((AB59*(((52/12)*8.77)/1520)*8.77))/2)*2,2)))</f>
        <v>0</v>
      </c>
      <c r="AN59" s="144" cm="1">
        <f t="array" ref="AN59">_xlfn.IFS($AH$59="Full Year", ROUND((((AC59*(52/12)*8.77)/1520)*8.77)*2,2),
$AH$59="Fall", ROUND((((AC59*(((52/12)*8.77)/1520)*8.77))/2)*2,2),
$AH$59="Spring",(ROUND((((AC59*(((52/12)*8.77)/1520)*8.77))/2)*2,2)))</f>
        <v>0</v>
      </c>
      <c r="AO59" s="159"/>
    </row>
    <row r="60" spans="2:42" ht="25.5" hidden="1" customHeight="1" outlineLevel="1" thickBot="1" x14ac:dyDescent="0.3">
      <c r="B60" s="298"/>
      <c r="C60" s="582"/>
      <c r="D60" s="43" t="s">
        <v>167</v>
      </c>
      <c r="E60" s="300"/>
      <c r="F60" s="146"/>
      <c r="G60" s="302"/>
      <c r="H60" s="302"/>
      <c r="I60" s="496"/>
      <c r="J60" s="213"/>
      <c r="K60" s="144">
        <f>ROUND(((G60*(52/12)*3.23)/560)*3.23,2)</f>
        <v>0</v>
      </c>
      <c r="L60" s="144">
        <f>ROUND(((H60*(52/12)*3.23)/560)*3.23,2)</f>
        <v>0</v>
      </c>
      <c r="M60" s="506">
        <f>ROUND(((I60*(52/12)*3.23)/560)*3.23,2)</f>
        <v>0</v>
      </c>
      <c r="N60" s="504"/>
      <c r="O60" s="504"/>
      <c r="P60"/>
      <c r="Q60" s="305">
        <f>(($E$60*3.23/560*G60*14)*$B$60)*1.03^G$2</f>
        <v>0</v>
      </c>
      <c r="R60" s="305">
        <f>(($E$60*3.23/560*H60*14)*$B$60)*1.03^H$2</f>
        <v>0</v>
      </c>
      <c r="S60" s="305">
        <f>(($E$60*3.23/560*I60*14)*$B$60)*1.03^I$2</f>
        <v>0</v>
      </c>
      <c r="T60" s="396">
        <f t="shared" si="22"/>
        <v>0</v>
      </c>
      <c r="U60" s="387">
        <f t="shared" si="23"/>
        <v>0</v>
      </c>
      <c r="V60" s="311">
        <f>(($AI$60*8.77/760*AA60*14)*$AF$60)*1.03^G$2</f>
        <v>0</v>
      </c>
      <c r="W60" s="311">
        <f>(($AI$60*8.77/760*AB60*14)*$AF$60)*1.03^H$2</f>
        <v>0</v>
      </c>
      <c r="X60" s="311">
        <f>(($AI$60*8.77/760*AC60*14)*$AF$60)*1.03^I$2</f>
        <v>0</v>
      </c>
      <c r="Y60" s="312">
        <f t="shared" si="24"/>
        <v>0</v>
      </c>
      <c r="Z60" s="148"/>
      <c r="AA60" s="298"/>
      <c r="AB60" s="298"/>
      <c r="AC60" s="298"/>
      <c r="AF60" s="298"/>
      <c r="AG60" s="582"/>
      <c r="AH60" s="43" t="s">
        <v>167</v>
      </c>
      <c r="AI60" s="300"/>
      <c r="AL60" s="199">
        <f>ROUND(((AA60*(52/12)*3.23)/560)*3.23,2)</f>
        <v>0</v>
      </c>
      <c r="AM60" s="144">
        <f>ROUND(((AB60*(52/12)*3.23)/560)*3.23,2)</f>
        <v>0</v>
      </c>
      <c r="AN60" s="144">
        <f>ROUND(((AC60*(52/12)*3.23)/560)*3.23,2)</f>
        <v>0</v>
      </c>
      <c r="AO60" s="159"/>
    </row>
    <row r="61" spans="2:42" ht="25.5" hidden="1" customHeight="1" outlineLevel="1" x14ac:dyDescent="0.25">
      <c r="B61" s="297"/>
      <c r="C61" s="581" t="s">
        <v>171</v>
      </c>
      <c r="D61" s="211" t="s">
        <v>170</v>
      </c>
      <c r="E61" s="299"/>
      <c r="F61" s="146"/>
      <c r="G61" s="301"/>
      <c r="H61" s="301"/>
      <c r="I61" s="497"/>
      <c r="J61" s="213"/>
      <c r="K61" s="144" cm="1">
        <f t="array" ref="K61">_xlfn.IFS($D$61="Full Year", ROUND((((G61*(52/12)*8.77)/1520)*8.77)*2,2),
$D$61="Fall", ROUND((((G61*(((52/12)*8.77)/1520)*8.77))/2)*2,2),
$D$61="Spring", (ROUND((((G61*(((52/12)*8.77)/1520)*8.77))/2)*2,2)))</f>
        <v>0</v>
      </c>
      <c r="L61" s="144" cm="1">
        <f t="array" ref="L61">_xlfn.IFS($D$61="Full Year", ROUND((((H61*(52/12)*8.77)/1520)*8.77)*2,2),
$D$61="Fall", ROUND((((H61*(((52/12)*8.77)/1520)*8.77))/2)*2,2),
$D$61="Spring", (ROUND((((H61*(((52/12)*8.77)/1520)*8.77))/2)*2,2)))</f>
        <v>0</v>
      </c>
      <c r="M61" s="506" cm="1">
        <f t="array" ref="M61">_xlfn.IFS($D$61="Full Year", ROUND((((I61*(52/12)*8.77)/1520)*8.77)*2,2),
$D$61="Fall", ROUND((((I61*(((52/12)*8.77)/1520)*8.77))/2)*2,2),
$D$61="Spring", (ROUND((((I61*(((52/12)*8.77)/1520)*8.77))/2)*2,2)))</f>
        <v>0</v>
      </c>
      <c r="N61" s="504"/>
      <c r="O61" s="504"/>
      <c r="P61"/>
      <c r="Q61" s="303" cm="1">
        <f t="array" ref="Q61">_xlfn.IFS($D$61="Full year", ((($E$61*8.77/760*G61*38)*$B$61)*1.03^G$2),
$D$61="Fall", ((($E$61*8.77/760*G61*19)*$B$61)*1.03^G$2),
$D$61="Spring",(($E$61*8.77/760*G61*19)*$B$61)*1.03^G$2)</f>
        <v>0</v>
      </c>
      <c r="R61" s="303" cm="1">
        <f t="array" ref="R61">_xlfn.IFS($D$61="Full year", ((($E$61*8.77/760*H61*38)*$B$61)*1.03^H$2),
$D$61="Fall", ((($E$61*8.77/760*H61*19)*$B$61)*1.03^H$2),
$D$61="Spring",(($E$61*8.77/760*H61*19)*$B$61)*1.03^H$2)</f>
        <v>0</v>
      </c>
      <c r="S61" s="303" cm="1">
        <f t="array" ref="S61">_xlfn.IFS($D$61="Full year", ((($E$61*8.77/760*I61*38)*$B$61)*1.03^I$2),
$D$61="Fall", ((($E$61*8.77/760*I61*19)*$B$61)*1.03^I$2),
$D$61="Spring",(($E$61*8.77/760*I61*19)*$B$61)*1.03^I$2)</f>
        <v>0</v>
      </c>
      <c r="T61" s="397">
        <f t="shared" si="22"/>
        <v>0</v>
      </c>
      <c r="U61" s="387">
        <f t="shared" si="23"/>
        <v>0</v>
      </c>
      <c r="V61" s="309" cm="1">
        <f t="array" ref="V61">_xlfn.IFS($AH$61="Full year", ((($AI$61*8.77/760*AA61*38)*$AF$61)*1.03^G$2),
$AH$61="Fall", ((($AI$61*8.77/760*AA61*19)*$AF$61)*1.03^G$2),
$AH$61="Spring",(($AI$61*8.77/760*AA61*19)*AFW$61)*1.03^G$2)</f>
        <v>0</v>
      </c>
      <c r="W61" s="309" cm="1">
        <f t="array" ref="W61">_xlfn.IFS($AH$61="Full year", ((($AI$61*8.77/760*AB61*38)*$AF$61)*1.03^H$2),
 $AH$61="Fall", ((($AI$61*8.77/760*AB61*19)*$AF$61)*1.03^H$2),
$AH$61="Spring",(($AI$61*8.77/760*AB61*19)*AF$61)*1.03^H$2)</f>
        <v>0</v>
      </c>
      <c r="X61" s="309" cm="1">
        <f t="array" ref="X61">_xlfn.IFS($AH$61="Full year", ((($AI$61*8.77/760*AC61*38)*$AF$61)*1.03^I$2),
 $AH$61="Fall", ((($AI$61*8.77/760*AC61*19)*$AF$61)*1.03^I$2),
$AH$61="Spring",(($AI$61*8.77/760*AC61*19)*$AF$61)*1.03^I$2)</f>
        <v>0</v>
      </c>
      <c r="Y61" s="310">
        <f t="shared" si="24"/>
        <v>0</v>
      </c>
      <c r="Z61" s="148"/>
      <c r="AA61" s="297"/>
      <c r="AB61" s="297"/>
      <c r="AC61" s="297"/>
      <c r="AF61" s="297"/>
      <c r="AG61" s="581" t="s">
        <v>171</v>
      </c>
      <c r="AH61" s="211" t="s">
        <v>166</v>
      </c>
      <c r="AI61" s="299"/>
      <c r="AL61" s="199" cm="1">
        <f t="array" ref="AL61">_xlfn.IFS($AH$61="Full Year",ROUND((((AA61*(52/12)*8.77)/1520)*8.77)*2,2),
$AH$61="Fall",ROUND((((AA61*(((52/12)*8.77)/1520)*8.77))/2)*2,2),
$AH$61="Spring",(ROUND((((AA61*(((52/12)*8.77)/1520)*8.77))/2)*2,2)))</f>
        <v>0</v>
      </c>
      <c r="AM61" s="144" cm="1">
        <f t="array" ref="AM61">_xlfn.IFS($AH$61="Full Year",ROUND((((AB61*(52/12)*8.77)/1520)*8.77)*2,2),
$AH$61="Fall",ROUND((((AB61*(((52/12)*8.77)/1520)*8.77))/2)*2,2),
$AH$61="Spring",(ROUND((((AB61*(((52/12)*8.77)/1520)*8.77))/2)*2,2)))</f>
        <v>0</v>
      </c>
      <c r="AN61" s="144" cm="1">
        <f t="array" ref="AN61">_xlfn.IFS($AH$61="Full Year",ROUND((((AC61*(52/12)*8.77)/1520)*8.77)*2,2),
$AH$61="Fall",ROUND((((AC61*(((52/12)*8.77)/1520)*8.77))/2)*2,2),
$AH$61="Spring",(ROUND((((AC61*(((52/12)*8.77)/1520)*8.77))/2)*2,2)))</f>
        <v>0</v>
      </c>
      <c r="AO61" s="159"/>
    </row>
    <row r="62" spans="2:42" ht="25.5" hidden="1" customHeight="1" outlineLevel="1" thickBot="1" x14ac:dyDescent="0.3">
      <c r="B62" s="298"/>
      <c r="C62" s="581"/>
      <c r="D62" s="42" t="s">
        <v>167</v>
      </c>
      <c r="E62" s="300"/>
      <c r="F62" s="146"/>
      <c r="G62" s="302"/>
      <c r="H62" s="302"/>
      <c r="I62" s="496"/>
      <c r="J62" s="213"/>
      <c r="K62" s="144">
        <f>ROUND(((G62*(52/12)*3.23)/560)*3.23,2)</f>
        <v>0</v>
      </c>
      <c r="L62" s="144">
        <f>ROUND(((H62*(52/12)*3.23)/560)*3.23,2)</f>
        <v>0</v>
      </c>
      <c r="M62" s="506">
        <f>ROUND(((I62*(52/12)*3.23)/560)*3.23,2)</f>
        <v>0</v>
      </c>
      <c r="N62" s="504"/>
      <c r="O62" s="504"/>
      <c r="P62"/>
      <c r="Q62" s="305">
        <f>(($E$62*3.23/560*G62*14)*$B$62)*1.03^G$2</f>
        <v>0</v>
      </c>
      <c r="R62" s="305">
        <f>(($E$62*3.23/560*H62*14)*$B$62)*1.03^H$2</f>
        <v>0</v>
      </c>
      <c r="S62" s="305">
        <f>(($E$62*3.23/560*I62*14)*$B$62)*1.03^I$2</f>
        <v>0</v>
      </c>
      <c r="T62" s="306">
        <f t="shared" si="22"/>
        <v>0</v>
      </c>
      <c r="U62" s="387">
        <f t="shared" si="23"/>
        <v>0</v>
      </c>
      <c r="V62" s="311">
        <f>(($AI$62*8.77/760*AA62*14)*$AF$62)*1.03^G$2</f>
        <v>0</v>
      </c>
      <c r="W62" s="311">
        <f>(($AI$62*8.77/760*AB62*14)*$AF$62)*1.03^H$2</f>
        <v>0</v>
      </c>
      <c r="X62" s="311">
        <f>(($AI$62*8.77/760*AC62*14)*$AF$62)*1.03^I$2</f>
        <v>0</v>
      </c>
      <c r="Y62" s="312">
        <f t="shared" si="24"/>
        <v>0</v>
      </c>
      <c r="Z62" s="148"/>
      <c r="AA62" s="298"/>
      <c r="AB62" s="298"/>
      <c r="AC62" s="298"/>
      <c r="AF62" s="298"/>
      <c r="AG62" s="581"/>
      <c r="AH62" s="42" t="s">
        <v>167</v>
      </c>
      <c r="AI62" s="300"/>
      <c r="AL62" s="199">
        <f>ROUND(((AA62*(52/12)*3.23)/560)*3.23,2)</f>
        <v>0</v>
      </c>
      <c r="AM62" s="144">
        <f>ROUND(((AB62*(52/12)*3.23)/560)*3.23,2)</f>
        <v>0</v>
      </c>
      <c r="AN62" s="144">
        <f>ROUND(((AC62*(52/12)*3.23)/560)*3.23,2)</f>
        <v>0</v>
      </c>
      <c r="AO62" s="159"/>
    </row>
    <row r="63" spans="2:42" ht="25.5" hidden="1" customHeight="1" outlineLevel="1" x14ac:dyDescent="0.25">
      <c r="B63" s="301"/>
      <c r="C63" s="583" t="s">
        <v>172</v>
      </c>
      <c r="D63" s="212" t="s">
        <v>164</v>
      </c>
      <c r="E63" s="299"/>
      <c r="F63" s="147"/>
      <c r="G63" s="301"/>
      <c r="H63" s="301"/>
      <c r="I63" s="497"/>
      <c r="J63" s="213"/>
      <c r="K63" s="145" cm="1">
        <f t="array" ref="K63">_xlfn.IFS($D$63="Full Year", ROUND((((G63*(52/12)*8.77)/1520)*8.77)*2,2),
$D$63="Fall",ROUND((((G63*(((52/12)*8.77)/1520)*8.77))/2)*2,2),
$D$63="Spring",(ROUND((((G63*(((52/12)*8.77)/1520)*8.77))/2)*2,2)))</f>
        <v>0</v>
      </c>
      <c r="L63" s="145" cm="1">
        <f t="array" ref="L63">_xlfn.IFS($D$63="Full Year", ROUND((((H63*(52/12)*8.77)/1520)*8.77)*2,2),
$D$63="Fall",ROUND((((H63*(((52/12)*8.77)/1520)*8.77))/2)*2,2),
$D$63="Spring",(ROUND((((H63*(((52/12)*8.77)/1520)*8.77))/2)*2,2)))</f>
        <v>0</v>
      </c>
      <c r="M63" s="507" cm="1">
        <f t="array" ref="M63">_xlfn.IFS($D$63="Full Year", ROUND((((I63*(52/12)*8.77)/1520)*8.77)*2,2),
$D$63="Fall",ROUND((((I63*(((52/12)*8.77)/1520)*8.77))/2)*2,2),
$D$63="Spring",(ROUND((((I63*(((52/12)*8.77)/1520)*8.77))/2)*2,2)))</f>
        <v>0</v>
      </c>
      <c r="N63" s="505"/>
      <c r="O63" s="505"/>
      <c r="P63"/>
      <c r="Q63" s="303" cm="1">
        <f t="array" ref="Q63">_xlfn.IFS($D$63="Full year", ((($E$63*8.77/760*G63*38)*$B$63)*1.03^G$2),
$D$63="Fall", ((($E$63*8.77/760*G63*19)*$B$63)*1.03^G$2),
$D$63="Spring",(($E$63*8.77/760*G63*19)*$B$63)*1.03^G$2)</f>
        <v>0</v>
      </c>
      <c r="R63" s="303" cm="1">
        <f t="array" ref="R63">_xlfn.IFS($D$63="Full year", ((($E$63*8.77/760*H63*38)*$B$63)*1.03^H$2),
$D$63="Fall", ((($E$63*8.77/760*H63*19)*$B$63)*1.03^H$2),
$D$63="Spring",(($E$63*8.77/760*H63*19)*$B$63)*1.03^H$2)</f>
        <v>0</v>
      </c>
      <c r="S63" s="303" cm="1">
        <f t="array" ref="S63">_xlfn.IFS($D$63="Full year", ((($E$63*8.77/760*I63*38)*$B$63)*1.03^I$2),
$D$63="Fall", ((($E$63*8.77/760*I63*19)*$B$63)*1.03^I$2),
$D$63="Spring",(($E$63*8.77/760*I63*19)*$B$63)*1.03^I$2)</f>
        <v>0</v>
      </c>
      <c r="T63" s="304">
        <f t="shared" si="22"/>
        <v>0</v>
      </c>
      <c r="U63" s="387">
        <f t="shared" si="23"/>
        <v>0</v>
      </c>
      <c r="V63" s="309" cm="1">
        <f t="array" ref="V63">_xlfn.IFS($AH$63="Full year", ((($AI$63*8.77/760*AA63*38)*$AF$63)*1.03^G$2),
$AH$63="Fall", ((($AI$63*8.77/760*AA63*19)*$AF$63)*1.03^G$2),
$AH$63="Spring",(($AI$63*8.77/760*AA63*19)*AFW$63)*1.03^G$2)</f>
        <v>0</v>
      </c>
      <c r="W63" s="309" cm="1">
        <f t="array" ref="W63">_xlfn.IFS($AH$63="Full year", ((($AI$63*8.77/760*AB63*38)*$AF$63)*1.03^H$2),
 $AH$63="Fall", ((($AI$63*8.77/760*AB63*19)*$AF$63)*1.03^H$2),
$AH$63="Spring",(($AI$63*8.77/760*AB63*19)*AF$63)*1.03^H$2)</f>
        <v>0</v>
      </c>
      <c r="X63" s="309" cm="1">
        <f t="array" ref="X63">_xlfn.IFS($AH$63="Full year", ((($AI$63*8.77/760*AC63*38)*$AF$63)*1.03^I$2),
 $AH$63="Fall", ((($AI$63*8.77/760*AC63*19)*$AF$63)*1.03^I$2),
$AH$63="Spring",(($AI$63*8.77/760*AC63*19)*$AF$63)*1.03^I$2)</f>
        <v>0</v>
      </c>
      <c r="Y63" s="310">
        <f t="shared" si="24"/>
        <v>0</v>
      </c>
      <c r="Z63" s="148"/>
      <c r="AA63" s="297"/>
      <c r="AB63" s="297"/>
      <c r="AC63" s="297"/>
      <c r="AF63" s="301"/>
      <c r="AG63" s="583" t="s">
        <v>172</v>
      </c>
      <c r="AH63" s="212" t="s">
        <v>164</v>
      </c>
      <c r="AI63" s="299"/>
      <c r="AL63" s="200" cm="1">
        <f t="array" ref="AL63">_xlfn.IFS($AH$63="Full Year",ROUND((((AA63*(52/12)*8.77)/1520)*8.77)*2,2),
$AH$63="Fall",ROUND((((AA63*(((52/12)*8.77)/1520)*8.77))/2)*2,2),
$AH$63="Spring",(ROUND((((AA63*(((52/12)*8.77)/1520)*8.77))/2)*2,2)))</f>
        <v>0</v>
      </c>
      <c r="AM63" s="145" cm="1">
        <f t="array" ref="AM63">_xlfn.IFS($AH$63="Full Year",ROUND((((AB63*(52/12)*8.77)/1520)*8.77)*2,2),
$AH$63="Fall",ROUND((((AB63*(((52/12)*8.77)/1520)*8.77))/2)*2,2),
$AH$63="Spring",(ROUND((((AB63*(((52/12)*8.77)/1520)*8.77))/2)*2,2)))</f>
        <v>0</v>
      </c>
      <c r="AN63" s="145" cm="1">
        <f t="array" ref="AN63">_xlfn.IFS($AH$63="Full Year",ROUND((((AC63*(52/12)*8.77)/1520)*8.77)*2,2),
$AH$63="Fall",ROUND((((AC63*(((52/12)*8.77)/1520)*8.77))/2)*2,2),
$AH$63="Spring",(ROUND((((AC63*(((52/12)*8.77)/1520)*8.77))/2)*2,2)))</f>
        <v>0</v>
      </c>
      <c r="AO63" s="159"/>
    </row>
    <row r="64" spans="2:42" ht="25.5" hidden="1" customHeight="1" outlineLevel="1" thickBot="1" x14ac:dyDescent="0.3">
      <c r="B64" s="298"/>
      <c r="C64" s="584"/>
      <c r="D64" s="42" t="s">
        <v>167</v>
      </c>
      <c r="E64" s="300"/>
      <c r="F64" s="146"/>
      <c r="G64" s="302"/>
      <c r="H64" s="302"/>
      <c r="I64" s="496"/>
      <c r="J64" s="213"/>
      <c r="K64" s="144">
        <f>ROUND(((G64*(52/12)*3.23)/560)*3.23,2)</f>
        <v>0</v>
      </c>
      <c r="L64" s="144">
        <f>ROUND(((H64*(52/12)*3.23)/560)*3.23,2)</f>
        <v>0</v>
      </c>
      <c r="M64" s="506">
        <f>ROUND(((I64*(52/12)*3.23)/560)*3.23,2)</f>
        <v>0</v>
      </c>
      <c r="N64" s="504"/>
      <c r="O64" s="504"/>
      <c r="P64"/>
      <c r="Q64" s="305">
        <f>(($E$64*3.23/560*G64*14)*$B$64)*1.03^G$2</f>
        <v>0</v>
      </c>
      <c r="R64" s="305">
        <f>(($E$64*3.23/560*H64*14)*$B$64)*1.03^H$2</f>
        <v>0</v>
      </c>
      <c r="S64" s="305">
        <f>(($E$64*3.23/560*I64*14)*$B$64)*1.03^I$2</f>
        <v>0</v>
      </c>
      <c r="T64" s="396">
        <f t="shared" si="22"/>
        <v>0</v>
      </c>
      <c r="U64" s="387">
        <f t="shared" si="23"/>
        <v>0</v>
      </c>
      <c r="V64" s="311">
        <f>(($AI$64*8.77/760*AA64*14)*$AF$64)*1.03^G$2</f>
        <v>0</v>
      </c>
      <c r="W64" s="311">
        <f>(($AI$64*8.77/760*AB64*14)*$AF$64)*1.03^H$2</f>
        <v>0</v>
      </c>
      <c r="X64" s="311">
        <f>(($AI$64*8.77/760*AC64*14)*$AF$64)*1.03^I$2</f>
        <v>0</v>
      </c>
      <c r="Y64" s="312">
        <f t="shared" si="24"/>
        <v>0</v>
      </c>
      <c r="Z64" s="148"/>
      <c r="AA64" s="298"/>
      <c r="AB64" s="298"/>
      <c r="AC64" s="298"/>
      <c r="AF64" s="298"/>
      <c r="AG64" s="584"/>
      <c r="AH64" s="42" t="s">
        <v>167</v>
      </c>
      <c r="AI64" s="300"/>
      <c r="AL64" s="199">
        <f>ROUND(((AA64*(52/12)*3.23)/560)*3.23,2)</f>
        <v>0</v>
      </c>
      <c r="AM64" s="144">
        <f>ROUND(((AB64*(52/12)*3.23)/560)*3.23,2)</f>
        <v>0</v>
      </c>
      <c r="AN64" s="144">
        <f>ROUND(((AC64*(52/12)*3.23)/560)*3.23,2)</f>
        <v>0</v>
      </c>
      <c r="AO64" s="159"/>
    </row>
    <row r="65" spans="2:41" ht="25.5" hidden="1" customHeight="1" outlineLevel="1" x14ac:dyDescent="0.25">
      <c r="B65" s="301"/>
      <c r="C65" s="585" t="s">
        <v>173</v>
      </c>
      <c r="D65" s="212" t="s">
        <v>164</v>
      </c>
      <c r="E65" s="299"/>
      <c r="F65" s="147"/>
      <c r="G65" s="301"/>
      <c r="H65" s="301"/>
      <c r="I65" s="497"/>
      <c r="J65" s="213"/>
      <c r="K65" s="145" cm="1">
        <f t="array" ref="K65">_xlfn.IFS($D$65="Full Year", ROUND((((G65*(52/12)*8.77)/1520)*8.77)*2,2),
 $D$65="Fall",ROUND((((G65*(((52/12)*8.77)/1520)*8.77))/2)*2,2),
$D$65="Spring",(ROUND((((G65*(((52/12)*8.77)/1520)*8.77))/2)*2,2)))</f>
        <v>0</v>
      </c>
      <c r="L65" s="145" cm="1">
        <f t="array" ref="L65">_xlfn.IFS($D$65="Full Year", ROUND((((H65*(52/12)*8.77)/1520)*8.77)*2,2),
 $D$65="Fall",ROUND((((H65*(((52/12)*8.77)/1520)*8.77))/2)*2,2),
$D$65="Spring",(ROUND((((H65*(((52/12)*8.77)/1520)*8.77))/2)*2,2)))</f>
        <v>0</v>
      </c>
      <c r="M65" s="507" cm="1">
        <f t="array" ref="M65">_xlfn.IFS($D$65="Full Year", ROUND((((I65*(52/12)*8.77)/1520)*8.77)*2,2),
 $D$65="Fall",ROUND((((I65*(((52/12)*8.77)/1520)*8.77))/2)*2,2),
$D$65="Spring",(ROUND((((I65*(((52/12)*8.77)/1520)*8.77))/2)*2,2)))</f>
        <v>0</v>
      </c>
      <c r="N65" s="505"/>
      <c r="O65" s="505"/>
      <c r="P65"/>
      <c r="Q65" s="303" cm="1">
        <f t="array" ref="Q65">_xlfn.IFS($D$65="Full year", ((($E$65*8.77/760*G65*38)*$B$65)*1.03^G$2),
$D$65="Fall", ((($E$65*8.77/760*G65*19)*$B$65)*1.03^G$2),
$D$65="Spring",(($E$65*8.77/760*G65*19)*$B$65)*1.03^G$2)</f>
        <v>0</v>
      </c>
      <c r="R65" s="303" cm="1">
        <f t="array" ref="R65">_xlfn.IFS($D$65="Full year", ((($E$65*8.77/760*H65*38)*$B$65)*1.03^H$2),
$D$65="Fall", ((($E$65*8.77/760*H65*19)*$B$65)*1.03^H$2),
$D$65="Spring",(($E$65*8.77/760*H65*19)*$B$65)*1.03^H$2)</f>
        <v>0</v>
      </c>
      <c r="S65" s="303" cm="1">
        <f t="array" ref="S65">_xlfn.IFS($D$65="Full year", ((($E$65*8.77/760*I65*38)*$B$65)*1.03^I$2),
$D$65="Fall", ((($E$65*8.77/760*I65*19)*$B$65)*1.03^I$2),
$D$65="Spring",(($E$65*8.77/760*I65*19)*$B$65)*1.03^I$2)</f>
        <v>0</v>
      </c>
      <c r="T65" s="397">
        <f t="shared" si="22"/>
        <v>0</v>
      </c>
      <c r="U65" s="387">
        <f t="shared" si="23"/>
        <v>0</v>
      </c>
      <c r="V65" s="309" cm="1">
        <f t="array" ref="V65">_xlfn.IFS($AH$65="Full year", ((($AI$65*8.77/760*AA65*38)*$AF$65)*1.03^G$2),
 $AH$65="Fall", ((($AI$65*8.77/760*AA65*19)*$AF$65)*1.03^G$2),
$AH$65="Spring",(($AI$65*8.77/760*AA65*19)*AF$65)*1.03^G$2)</f>
        <v>0</v>
      </c>
      <c r="W65" s="309" cm="1">
        <f t="array" ref="W65">_xlfn.IFS($AH$65="Full year", ((($AI$65*8.77/760*AB65*38)*$AF$65)*1.03^H$2),
 $AH$65="Fall", ((($AI$65*8.77/760*AB65*19)*$AF$65)*1.03^H$2),
$AH$65="Spring",(($AI$65*8.77/760*AB65*19)*AF$65)*1.03^H$2)</f>
        <v>0</v>
      </c>
      <c r="X65" s="309" cm="1">
        <f t="array" ref="X65">_xlfn.IFS($AH$65="Full year", ((($AI$65*8.77/760*AC65*38)*$AF$65)*1.03^I$2),
 $AH$65="Fall", ((($AI$65*8.77/760*AC65*19)*$AF$65)*1.03^I$2),
$AH$65="Spring",(($AI$65*8.77/760*AC65*19)*$AF$65)*1.03^I$2)</f>
        <v>0</v>
      </c>
      <c r="Y65" s="310">
        <f t="shared" si="24"/>
        <v>0</v>
      </c>
      <c r="Z65" s="148"/>
      <c r="AA65" s="297"/>
      <c r="AB65" s="297"/>
      <c r="AC65" s="297"/>
      <c r="AF65" s="301"/>
      <c r="AG65" s="585" t="s">
        <v>173</v>
      </c>
      <c r="AH65" s="212" t="s">
        <v>170</v>
      </c>
      <c r="AI65" s="299"/>
      <c r="AL65" s="200" cm="1">
        <f t="array" ref="AL65">_xlfn.IFS($AH$65="Full Year",ROUND((((AA65*(52/12)*8.77)/1520)*8.77)*2,2),
$AH$65="Fall",ROUND((((AA65*(((52/12)*8.77)/1520)*8.77))/2)*2,2),
$AH$65="Spring",(ROUND((((AA65*(((52/12)*8.77)/1520)*8.77))/2)*2,2)))</f>
        <v>0</v>
      </c>
      <c r="AM65" s="145" cm="1">
        <f t="array" ref="AM65">_xlfn.IFS($AH$65="Full Year",ROUND((((AB65*(52/12)*8.77)/1520)*8.77)*2,2),
$AH$65="Fall",ROUND((((AB65*(((52/12)*8.77)/1520)*8.77))/2)*2,2),
$AH$65="Spring",(ROUND((((AB65*(((52/12)*8.77)/1520)*8.77))/2)*2,2)))</f>
        <v>0</v>
      </c>
      <c r="AN65" s="145" cm="1">
        <f t="array" ref="AN65">_xlfn.IFS($AH$65="Full Year",ROUND((((AC65*(52/12)*8.77)/1520)*8.77)*2,2),
$AH$65="Fall",ROUND((((AC65*(((52/12)*8.77)/1520)*8.77))/2)*2,2),
$AH$65="Spring",(ROUND((((AC65*(((52/12)*8.77)/1520)*8.77))/2)*2,2)))</f>
        <v>0</v>
      </c>
      <c r="AO65" s="159"/>
    </row>
    <row r="66" spans="2:41" ht="25.5" hidden="1" customHeight="1" outlineLevel="1" x14ac:dyDescent="0.25">
      <c r="B66" s="263"/>
      <c r="C66" s="581"/>
      <c r="D66" s="42" t="s">
        <v>167</v>
      </c>
      <c r="E66" s="267"/>
      <c r="F66" s="146"/>
      <c r="G66" s="264"/>
      <c r="H66" s="264"/>
      <c r="I66" s="495"/>
      <c r="J66" s="213"/>
      <c r="K66" s="144">
        <f>ROUND(((G66*(52/12)*3.23)/560)*3.23,2)</f>
        <v>0</v>
      </c>
      <c r="L66" s="144">
        <f>ROUND(((H66*(52/12)*3.23)/560)*3.23,2)</f>
        <v>0</v>
      </c>
      <c r="M66" s="506">
        <f>ROUND(((I66*(52/12)*3.23)/560)*3.23,2)</f>
        <v>0</v>
      </c>
      <c r="N66" s="504"/>
      <c r="O66" s="504"/>
      <c r="P66"/>
      <c r="Q66" s="80">
        <f>(($E$66*3.23/560*G66*14)*$B$66)*1.03^G$2</f>
        <v>0</v>
      </c>
      <c r="R66" s="80">
        <f>(($E$66*3.23/560*H66*14)*$B$66)*1.03^H$2</f>
        <v>0</v>
      </c>
      <c r="S66" s="80">
        <f>(($E$66*3.23/560*I66*14)*$B$66)*1.03^I$2</f>
        <v>0</v>
      </c>
      <c r="T66" s="82">
        <f t="shared" si="22"/>
        <v>0</v>
      </c>
      <c r="U66" s="387">
        <f t="shared" si="23"/>
        <v>0</v>
      </c>
      <c r="V66" s="241">
        <f>(($AI$66*8.77/760*AA66*14)*$AF$66)*1.03^G$2</f>
        <v>0</v>
      </c>
      <c r="W66" s="241">
        <f>(($AI$66*8.77/760*AB66*14)*$AF$66)*1.03^H$2</f>
        <v>0</v>
      </c>
      <c r="X66" s="241">
        <f>(($AI$66*8.77/760*AC66*14)*$AF$66)*1.03^I$2</f>
        <v>0</v>
      </c>
      <c r="Y66" s="245">
        <f t="shared" si="24"/>
        <v>0</v>
      </c>
      <c r="Z66" s="148"/>
      <c r="AA66" s="263"/>
      <c r="AB66" s="263"/>
      <c r="AC66" s="263"/>
      <c r="AF66" s="263"/>
      <c r="AG66" s="581"/>
      <c r="AH66" s="42" t="s">
        <v>167</v>
      </c>
      <c r="AI66" s="267"/>
      <c r="AL66" s="199">
        <f>ROUND(((AA66*(52/12)*3.23)/560)*3.23,2)</f>
        <v>0</v>
      </c>
      <c r="AM66" s="144">
        <f>ROUND(((AB66*(52/12)*3.23)/560)*3.23,2)</f>
        <v>0</v>
      </c>
      <c r="AN66" s="144">
        <f>ROUND(((AC66*(52/12)*3.23)/560)*3.23,2)</f>
        <v>0</v>
      </c>
      <c r="AO66" s="159"/>
    </row>
    <row r="67" spans="2:41" ht="31.5" customHeight="1" collapsed="1" x14ac:dyDescent="0.25">
      <c r="B67" s="833" t="s">
        <v>174</v>
      </c>
      <c r="C67" s="833"/>
      <c r="D67" s="833"/>
      <c r="E67" s="833"/>
      <c r="F67" s="833"/>
      <c r="G67" s="833"/>
      <c r="H67" s="833"/>
      <c r="I67" s="833"/>
      <c r="J67" s="833"/>
      <c r="K67" s="833"/>
      <c r="L67" s="833"/>
      <c r="M67" s="833"/>
      <c r="N67" s="833"/>
      <c r="O67" s="833"/>
      <c r="P67" s="833"/>
      <c r="Q67" s="398">
        <f t="shared" ref="Q67:T67" si="25">SUM(Q57:Q66)</f>
        <v>0</v>
      </c>
      <c r="R67" s="398">
        <f t="shared" si="25"/>
        <v>0</v>
      </c>
      <c r="S67" s="398">
        <f t="shared" si="25"/>
        <v>0</v>
      </c>
      <c r="T67" s="398">
        <f t="shared" si="25"/>
        <v>0</v>
      </c>
      <c r="U67" s="399">
        <f t="shared" si="23"/>
        <v>0</v>
      </c>
      <c r="V67" s="400">
        <f>SUM(V57:V66)</f>
        <v>0</v>
      </c>
      <c r="W67" s="400">
        <f>SUM(W57:W66)</f>
        <v>0</v>
      </c>
      <c r="X67" s="401">
        <f>SUM(X57:X66)</f>
        <v>0</v>
      </c>
      <c r="Y67" s="402">
        <f>SUM(Y57:Y66)</f>
        <v>0</v>
      </c>
      <c r="Z67" s="403"/>
      <c r="AA67" s="814" t="s">
        <v>175</v>
      </c>
      <c r="AB67" s="814"/>
      <c r="AC67" s="814"/>
      <c r="AD67" s="814"/>
      <c r="AE67" s="814"/>
      <c r="AF67" s="814"/>
      <c r="AG67" s="814"/>
      <c r="AH67" s="814"/>
      <c r="AI67" s="814"/>
      <c r="AJ67" s="814"/>
      <c r="AK67" s="814"/>
      <c r="AL67" s="814"/>
      <c r="AM67" s="814"/>
      <c r="AN67" s="814"/>
      <c r="AO67" s="815"/>
    </row>
    <row r="68" spans="2:41" ht="39" customHeight="1" thickBot="1" x14ac:dyDescent="0.3">
      <c r="B68" s="691" t="s">
        <v>176</v>
      </c>
      <c r="C68" s="691"/>
      <c r="D68" s="691"/>
      <c r="E68" s="691"/>
      <c r="F68" s="691"/>
      <c r="G68" s="691"/>
      <c r="H68" s="691"/>
      <c r="I68" s="691"/>
      <c r="J68" s="691"/>
      <c r="K68" s="691"/>
      <c r="L68" s="691"/>
      <c r="M68" s="691"/>
      <c r="N68" s="691"/>
      <c r="O68" s="691"/>
      <c r="P68" s="691"/>
      <c r="Q68" s="405">
        <f>OtherGRASalary1 + OtherSalary1</f>
        <v>0</v>
      </c>
      <c r="R68" s="405">
        <f>OtherGRASalary2 + OtherSalary2</f>
        <v>0</v>
      </c>
      <c r="S68" s="405">
        <f>OtherGRASalary3+OtherSalary3</f>
        <v>0</v>
      </c>
      <c r="T68" s="405">
        <f>OtherGRASalaryTOT+OtherSalaryTot</f>
        <v>0</v>
      </c>
      <c r="U68" s="387">
        <f t="shared" si="23"/>
        <v>0</v>
      </c>
      <c r="V68" s="526">
        <f>cs.GRASalary1 + cs.Oth.Salary1</f>
        <v>0</v>
      </c>
      <c r="W68" s="526">
        <f>cs.GRASalary2 + cs.Oth.Salary2</f>
        <v>0</v>
      </c>
      <c r="X68" s="526">
        <f>cs.GRASalary3 + cs.Oth.Salary3</f>
        <v>0</v>
      </c>
      <c r="Y68" s="527">
        <f>cs.GRASalaryToT + cs.Oth.SalaryTOT</f>
        <v>0</v>
      </c>
      <c r="Z68" s="406"/>
      <c r="AA68" s="803" t="s">
        <v>177</v>
      </c>
      <c r="AB68" s="803"/>
      <c r="AC68" s="803"/>
      <c r="AD68" s="803"/>
      <c r="AE68" s="803"/>
      <c r="AF68" s="803"/>
      <c r="AG68" s="803"/>
      <c r="AH68" s="803"/>
      <c r="AI68" s="803"/>
      <c r="AJ68" s="803"/>
      <c r="AK68" s="803"/>
      <c r="AL68" s="803"/>
      <c r="AM68" s="803"/>
      <c r="AN68" s="803"/>
      <c r="AO68" s="804"/>
    </row>
    <row r="69" spans="2:41" ht="53.25" customHeight="1" thickBot="1" x14ac:dyDescent="0.35">
      <c r="B69" s="665" t="s">
        <v>178</v>
      </c>
      <c r="C69" s="665"/>
      <c r="D69" s="665"/>
      <c r="E69" s="665"/>
      <c r="F69" s="665"/>
      <c r="G69" s="665"/>
      <c r="H69" s="665"/>
      <c r="I69" s="665"/>
      <c r="J69" s="665"/>
      <c r="K69" s="665"/>
      <c r="L69" s="665"/>
      <c r="M69" s="665"/>
      <c r="N69" s="665"/>
      <c r="O69" s="665"/>
      <c r="P69" s="665"/>
      <c r="Q69" s="665"/>
      <c r="R69" s="665"/>
      <c r="S69" s="665"/>
      <c r="T69" s="665"/>
      <c r="U69" s="237"/>
      <c r="V69" s="666" t="s">
        <v>178</v>
      </c>
      <c r="W69" s="666"/>
      <c r="X69" s="666"/>
      <c r="Y69" s="666"/>
      <c r="Z69" s="666"/>
      <c r="AA69" s="666"/>
      <c r="AB69" s="666"/>
      <c r="AC69" s="666"/>
      <c r="AD69" s="666"/>
      <c r="AE69" s="666"/>
      <c r="AF69" s="666"/>
      <c r="AG69" s="666"/>
      <c r="AH69" s="666"/>
      <c r="AI69" s="666"/>
      <c r="AJ69" s="666"/>
      <c r="AK69" s="666"/>
      <c r="AL69" s="666"/>
      <c r="AM69" s="666"/>
      <c r="AN69" s="666"/>
      <c r="AO69" s="666"/>
    </row>
    <row r="70" spans="2:41" ht="51.75" customHeight="1" thickTop="1" x14ac:dyDescent="0.25">
      <c r="B70" s="808" t="s">
        <v>116</v>
      </c>
      <c r="C70" s="809"/>
      <c r="D70" s="75" t="s">
        <v>117</v>
      </c>
      <c r="E70" s="76" t="s">
        <v>179</v>
      </c>
      <c r="F70" s="810" t="s">
        <v>180</v>
      </c>
      <c r="G70" s="811"/>
      <c r="H70" s="811"/>
      <c r="I70" s="811"/>
      <c r="J70" s="811"/>
      <c r="K70" s="811"/>
      <c r="L70" s="811"/>
      <c r="M70" s="811"/>
      <c r="N70" s="811"/>
      <c r="O70" s="811"/>
      <c r="P70" s="811"/>
      <c r="Q70" s="64" t="s">
        <v>123</v>
      </c>
      <c r="R70" s="64" t="s">
        <v>124</v>
      </c>
      <c r="S70" s="64" t="s">
        <v>125</v>
      </c>
      <c r="T70" s="373" t="s">
        <v>110</v>
      </c>
      <c r="U70" s="371"/>
      <c r="V70" s="37" t="s">
        <v>123</v>
      </c>
      <c r="W70" s="37" t="s">
        <v>124</v>
      </c>
      <c r="X70" s="37" t="s">
        <v>125</v>
      </c>
      <c r="Y70" s="407" t="s">
        <v>126</v>
      </c>
      <c r="Z70" s="811" t="s">
        <v>180</v>
      </c>
      <c r="AA70" s="811"/>
      <c r="AB70" s="811"/>
      <c r="AC70" s="811"/>
      <c r="AD70" s="811"/>
      <c r="AE70" s="811"/>
      <c r="AF70" s="808" t="s">
        <v>116</v>
      </c>
      <c r="AG70" s="809"/>
      <c r="AH70" s="75" t="s">
        <v>117</v>
      </c>
      <c r="AI70" s="76" t="s">
        <v>179</v>
      </c>
      <c r="AJ70" s="214"/>
      <c r="AK70"/>
      <c r="AO70" s="159"/>
    </row>
    <row r="71" spans="2:41" ht="22.5" customHeight="1" thickBot="1" x14ac:dyDescent="0.3">
      <c r="B71" s="802">
        <f>B11</f>
        <v>0</v>
      </c>
      <c r="C71" s="802"/>
      <c r="D71" s="44" t="str">
        <f>D11</f>
        <v>PI</v>
      </c>
      <c r="E71" s="268"/>
      <c r="F71" s="812"/>
      <c r="G71" s="813"/>
      <c r="H71" s="813"/>
      <c r="I71" s="813"/>
      <c r="J71" s="813"/>
      <c r="K71" s="813"/>
      <c r="L71" s="813"/>
      <c r="M71" s="813"/>
      <c r="N71" s="813"/>
      <c r="O71" s="813"/>
      <c r="P71" s="813"/>
      <c r="Q71" s="45">
        <f t="shared" ref="Q71:S86" si="26">ROUND($E71*Q11,0)</f>
        <v>0</v>
      </c>
      <c r="R71" s="45">
        <f t="shared" si="26"/>
        <v>0</v>
      </c>
      <c r="S71" s="45">
        <f t="shared" si="26"/>
        <v>0</v>
      </c>
      <c r="T71" s="83">
        <f t="shared" ref="T71:T90" si="27">SUM(Q71:S71)</f>
        <v>0</v>
      </c>
      <c r="U71" s="371">
        <f>T71+Y71</f>
        <v>0</v>
      </c>
      <c r="V71" s="243">
        <f t="shared" ref="V71:X90" si="28">ROUND($AI71*V11,0)</f>
        <v>0</v>
      </c>
      <c r="W71" s="243">
        <f t="shared" si="28"/>
        <v>0</v>
      </c>
      <c r="X71" s="243">
        <f t="shared" si="28"/>
        <v>0</v>
      </c>
      <c r="Y71" s="244">
        <f t="shared" ref="Y71:Y90" si="29">SUM(V71:X71)</f>
        <v>0</v>
      </c>
      <c r="Z71" s="813"/>
      <c r="AA71" s="813"/>
      <c r="AB71" s="813"/>
      <c r="AC71" s="813"/>
      <c r="AD71" s="813"/>
      <c r="AE71" s="813"/>
      <c r="AF71" s="802">
        <f>AF11</f>
        <v>0</v>
      </c>
      <c r="AG71" s="802"/>
      <c r="AH71" s="44" t="str">
        <f>AH11</f>
        <v>PI</v>
      </c>
      <c r="AI71" s="268"/>
      <c r="AJ71" s="180"/>
      <c r="AK71"/>
      <c r="AO71" s="159"/>
    </row>
    <row r="72" spans="2:41" ht="25.5" customHeight="1" thickTop="1" thickBot="1" x14ac:dyDescent="0.3">
      <c r="B72" s="802">
        <f>B12</f>
        <v>0</v>
      </c>
      <c r="C72" s="802"/>
      <c r="D72" s="44" t="str">
        <f>D12</f>
        <v>Co PI</v>
      </c>
      <c r="E72" s="268"/>
      <c r="F72" s="812"/>
      <c r="G72" s="813"/>
      <c r="H72" s="813"/>
      <c r="I72" s="813"/>
      <c r="J72" s="813"/>
      <c r="K72" s="813"/>
      <c r="L72" s="813"/>
      <c r="M72" s="813"/>
      <c r="N72" s="813"/>
      <c r="O72" s="813"/>
      <c r="P72" s="813"/>
      <c r="Q72" s="45">
        <f t="shared" si="26"/>
        <v>0</v>
      </c>
      <c r="R72" s="45">
        <f t="shared" si="26"/>
        <v>0</v>
      </c>
      <c r="S72" s="45">
        <f t="shared" si="26"/>
        <v>0</v>
      </c>
      <c r="T72" s="83">
        <f t="shared" si="27"/>
        <v>0</v>
      </c>
      <c r="U72" s="371">
        <f>T72+Y72</f>
        <v>0</v>
      </c>
      <c r="V72" s="243">
        <f t="shared" si="28"/>
        <v>0</v>
      </c>
      <c r="W72" s="243">
        <f t="shared" si="28"/>
        <v>0</v>
      </c>
      <c r="X72" s="243">
        <f t="shared" si="28"/>
        <v>0</v>
      </c>
      <c r="Y72" s="244">
        <f t="shared" si="29"/>
        <v>0</v>
      </c>
      <c r="Z72" s="813"/>
      <c r="AA72" s="813"/>
      <c r="AB72" s="813"/>
      <c r="AC72" s="813"/>
      <c r="AD72" s="813"/>
      <c r="AE72" s="813"/>
      <c r="AF72" s="802">
        <f>AF12</f>
        <v>0</v>
      </c>
      <c r="AG72" s="802"/>
      <c r="AH72" s="44" t="str">
        <f>AH12</f>
        <v>Co PI</v>
      </c>
      <c r="AI72" s="268"/>
      <c r="AJ72" s="180"/>
      <c r="AK72"/>
      <c r="AO72" s="159"/>
    </row>
    <row r="73" spans="2:41" ht="25.5" customHeight="1" thickTop="1" thickBot="1" x14ac:dyDescent="0.3">
      <c r="B73" s="802">
        <f>B13</f>
        <v>0</v>
      </c>
      <c r="C73" s="802"/>
      <c r="D73" s="44" t="str">
        <f t="shared" ref="D73:D87" si="30">D13</f>
        <v>Co PI</v>
      </c>
      <c r="E73" s="268"/>
      <c r="F73" s="812"/>
      <c r="G73" s="813"/>
      <c r="H73" s="813"/>
      <c r="I73" s="813"/>
      <c r="J73" s="813"/>
      <c r="K73" s="813"/>
      <c r="L73" s="813"/>
      <c r="M73" s="813"/>
      <c r="N73" s="813"/>
      <c r="O73" s="813"/>
      <c r="P73" s="813"/>
      <c r="Q73" s="45">
        <f t="shared" si="26"/>
        <v>0</v>
      </c>
      <c r="R73" s="45">
        <f t="shared" si="26"/>
        <v>0</v>
      </c>
      <c r="S73" s="45">
        <f t="shared" si="26"/>
        <v>0</v>
      </c>
      <c r="T73" s="83">
        <f t="shared" si="27"/>
        <v>0</v>
      </c>
      <c r="U73" s="371">
        <f>T73+Y73</f>
        <v>0</v>
      </c>
      <c r="V73" s="243">
        <f t="shared" si="28"/>
        <v>0</v>
      </c>
      <c r="W73" s="243">
        <f t="shared" si="28"/>
        <v>0</v>
      </c>
      <c r="X73" s="243">
        <f t="shared" si="28"/>
        <v>0</v>
      </c>
      <c r="Y73" s="244">
        <f t="shared" si="29"/>
        <v>0</v>
      </c>
      <c r="Z73" s="813"/>
      <c r="AA73" s="813"/>
      <c r="AB73" s="813"/>
      <c r="AC73" s="813"/>
      <c r="AD73" s="813"/>
      <c r="AE73" s="813"/>
      <c r="AF73" s="802">
        <f>AF13</f>
        <v>0</v>
      </c>
      <c r="AG73" s="802"/>
      <c r="AH73" s="44" t="str">
        <f>AH13</f>
        <v>Co PI</v>
      </c>
      <c r="AI73" s="268"/>
      <c r="AJ73" s="180"/>
      <c r="AK73"/>
      <c r="AO73" s="159"/>
    </row>
    <row r="74" spans="2:41" ht="25.5" customHeight="1" thickTop="1" thickBot="1" x14ac:dyDescent="0.3">
      <c r="B74" s="802">
        <f t="shared" ref="B74:B87" si="31">B14</f>
        <v>0</v>
      </c>
      <c r="C74" s="802"/>
      <c r="D74" s="44" t="str">
        <f t="shared" si="30"/>
        <v>Co PI</v>
      </c>
      <c r="E74" s="268"/>
      <c r="F74" s="812"/>
      <c r="G74" s="813"/>
      <c r="H74" s="813"/>
      <c r="I74" s="813"/>
      <c r="J74" s="813"/>
      <c r="K74" s="813"/>
      <c r="L74" s="813"/>
      <c r="M74" s="813"/>
      <c r="N74" s="813"/>
      <c r="O74" s="813"/>
      <c r="P74" s="813"/>
      <c r="Q74" s="45">
        <f t="shared" si="26"/>
        <v>0</v>
      </c>
      <c r="R74" s="45">
        <f t="shared" si="26"/>
        <v>0</v>
      </c>
      <c r="S74" s="45">
        <f t="shared" si="26"/>
        <v>0</v>
      </c>
      <c r="T74" s="83">
        <f t="shared" si="27"/>
        <v>0</v>
      </c>
      <c r="U74" s="371">
        <f t="shared" ref="U74:U87" si="32">T74+Y74</f>
        <v>0</v>
      </c>
      <c r="V74" s="243">
        <f t="shared" si="28"/>
        <v>0</v>
      </c>
      <c r="W74" s="243">
        <f t="shared" si="28"/>
        <v>0</v>
      </c>
      <c r="X74" s="243">
        <f t="shared" si="28"/>
        <v>0</v>
      </c>
      <c r="Y74" s="244">
        <f t="shared" si="29"/>
        <v>0</v>
      </c>
      <c r="Z74" s="813"/>
      <c r="AA74" s="813"/>
      <c r="AB74" s="813"/>
      <c r="AC74" s="813"/>
      <c r="AD74" s="813"/>
      <c r="AE74" s="813"/>
      <c r="AF74" s="802">
        <f t="shared" ref="AF74:AF87" si="33">AF14</f>
        <v>0</v>
      </c>
      <c r="AG74" s="802"/>
      <c r="AH74" s="44" t="str">
        <f t="shared" ref="AH74:AH87" si="34">AH14</f>
        <v>Senior Personnel</v>
      </c>
      <c r="AI74" s="268"/>
      <c r="AJ74" s="180"/>
      <c r="AK74"/>
      <c r="AO74" s="159"/>
    </row>
    <row r="75" spans="2:41" ht="25.5" customHeight="1" thickTop="1" thickBot="1" x14ac:dyDescent="0.3">
      <c r="B75" s="802">
        <f t="shared" si="31"/>
        <v>0</v>
      </c>
      <c r="C75" s="802"/>
      <c r="D75" s="44" t="str">
        <f t="shared" si="30"/>
        <v>Co PI</v>
      </c>
      <c r="E75" s="268"/>
      <c r="F75" s="812"/>
      <c r="G75" s="813"/>
      <c r="H75" s="813"/>
      <c r="I75" s="813"/>
      <c r="J75" s="813"/>
      <c r="K75" s="813"/>
      <c r="L75" s="813"/>
      <c r="M75" s="813"/>
      <c r="N75" s="813"/>
      <c r="O75" s="813"/>
      <c r="P75" s="813"/>
      <c r="Q75" s="45">
        <f t="shared" si="26"/>
        <v>0</v>
      </c>
      <c r="R75" s="45">
        <f t="shared" si="26"/>
        <v>0</v>
      </c>
      <c r="S75" s="45">
        <f t="shared" si="26"/>
        <v>0</v>
      </c>
      <c r="T75" s="83">
        <f t="shared" si="27"/>
        <v>0</v>
      </c>
      <c r="U75" s="371">
        <f t="shared" si="32"/>
        <v>0</v>
      </c>
      <c r="V75" s="243">
        <f t="shared" si="28"/>
        <v>0</v>
      </c>
      <c r="W75" s="243">
        <f t="shared" si="28"/>
        <v>0</v>
      </c>
      <c r="X75" s="243">
        <f t="shared" si="28"/>
        <v>0</v>
      </c>
      <c r="Y75" s="244">
        <f t="shared" si="29"/>
        <v>0</v>
      </c>
      <c r="Z75" s="813"/>
      <c r="AA75" s="813"/>
      <c r="AB75" s="813"/>
      <c r="AC75" s="813"/>
      <c r="AD75" s="813"/>
      <c r="AE75" s="813"/>
      <c r="AF75" s="802">
        <f t="shared" si="33"/>
        <v>0</v>
      </c>
      <c r="AG75" s="802"/>
      <c r="AH75" s="44" t="str">
        <f t="shared" si="34"/>
        <v>Senior Personnel</v>
      </c>
      <c r="AI75" s="268"/>
      <c r="AJ75" s="180"/>
      <c r="AK75"/>
      <c r="AO75" s="159"/>
    </row>
    <row r="76" spans="2:41" ht="25.5" customHeight="1" thickTop="1" thickBot="1" x14ac:dyDescent="0.3">
      <c r="B76" s="802">
        <f t="shared" si="31"/>
        <v>0</v>
      </c>
      <c r="C76" s="802"/>
      <c r="D76" s="44" t="str">
        <f t="shared" si="30"/>
        <v>Senior Personnel</v>
      </c>
      <c r="E76" s="268"/>
      <c r="F76" s="812"/>
      <c r="G76" s="813"/>
      <c r="H76" s="813"/>
      <c r="I76" s="813"/>
      <c r="J76" s="813"/>
      <c r="K76" s="813"/>
      <c r="L76" s="813"/>
      <c r="M76" s="813"/>
      <c r="N76" s="813"/>
      <c r="O76" s="813"/>
      <c r="P76" s="813"/>
      <c r="Q76" s="45">
        <f t="shared" si="26"/>
        <v>0</v>
      </c>
      <c r="R76" s="45">
        <f t="shared" si="26"/>
        <v>0</v>
      </c>
      <c r="S76" s="45">
        <f t="shared" si="26"/>
        <v>0</v>
      </c>
      <c r="T76" s="83">
        <f t="shared" si="27"/>
        <v>0</v>
      </c>
      <c r="U76" s="371">
        <f t="shared" si="32"/>
        <v>0</v>
      </c>
      <c r="V76" s="243">
        <f t="shared" si="28"/>
        <v>0</v>
      </c>
      <c r="W76" s="243">
        <f t="shared" si="28"/>
        <v>0</v>
      </c>
      <c r="X76" s="243">
        <f t="shared" si="28"/>
        <v>0</v>
      </c>
      <c r="Y76" s="244">
        <f t="shared" si="29"/>
        <v>0</v>
      </c>
      <c r="Z76" s="813"/>
      <c r="AA76" s="813"/>
      <c r="AB76" s="813"/>
      <c r="AC76" s="813"/>
      <c r="AD76" s="813"/>
      <c r="AE76" s="813"/>
      <c r="AF76" s="802">
        <f t="shared" si="33"/>
        <v>0</v>
      </c>
      <c r="AG76" s="802"/>
      <c r="AH76" s="44" t="str">
        <f t="shared" si="34"/>
        <v>Senior Personnel</v>
      </c>
      <c r="AI76" s="268"/>
      <c r="AJ76" s="180"/>
      <c r="AK76"/>
      <c r="AO76" s="159"/>
    </row>
    <row r="77" spans="2:41" ht="25.5" customHeight="1" thickTop="1" thickBot="1" x14ac:dyDescent="0.3">
      <c r="B77" s="802">
        <f t="shared" si="31"/>
        <v>0</v>
      </c>
      <c r="C77" s="802"/>
      <c r="D77" s="44" t="str">
        <f t="shared" si="30"/>
        <v>Senior Personnel</v>
      </c>
      <c r="E77" s="268"/>
      <c r="F77" s="812"/>
      <c r="G77" s="813"/>
      <c r="H77" s="813"/>
      <c r="I77" s="813"/>
      <c r="J77" s="813"/>
      <c r="K77" s="813"/>
      <c r="L77" s="813"/>
      <c r="M77" s="813"/>
      <c r="N77" s="813"/>
      <c r="O77" s="813"/>
      <c r="P77" s="813"/>
      <c r="Q77" s="45">
        <f t="shared" si="26"/>
        <v>0</v>
      </c>
      <c r="R77" s="45">
        <f t="shared" si="26"/>
        <v>0</v>
      </c>
      <c r="S77" s="45">
        <f t="shared" si="26"/>
        <v>0</v>
      </c>
      <c r="T77" s="83">
        <f t="shared" si="27"/>
        <v>0</v>
      </c>
      <c r="U77" s="371">
        <f t="shared" si="32"/>
        <v>0</v>
      </c>
      <c r="V77" s="243">
        <f t="shared" si="28"/>
        <v>0</v>
      </c>
      <c r="W77" s="243">
        <f t="shared" si="28"/>
        <v>0</v>
      </c>
      <c r="X77" s="243">
        <f t="shared" si="28"/>
        <v>0</v>
      </c>
      <c r="Y77" s="244">
        <f t="shared" si="29"/>
        <v>0</v>
      </c>
      <c r="Z77" s="813"/>
      <c r="AA77" s="813"/>
      <c r="AB77" s="813"/>
      <c r="AC77" s="813"/>
      <c r="AD77" s="813"/>
      <c r="AE77" s="813"/>
      <c r="AF77" s="802">
        <f t="shared" si="33"/>
        <v>0</v>
      </c>
      <c r="AG77" s="802"/>
      <c r="AH77" s="44" t="str">
        <f t="shared" si="34"/>
        <v>Senior Personnel</v>
      </c>
      <c r="AI77" s="268"/>
      <c r="AJ77" s="180"/>
      <c r="AK77"/>
      <c r="AO77" s="159"/>
    </row>
    <row r="78" spans="2:41" ht="25.5" customHeight="1" thickTop="1" thickBot="1" x14ac:dyDescent="0.3">
      <c r="B78" s="802">
        <f t="shared" si="31"/>
        <v>0</v>
      </c>
      <c r="C78" s="802"/>
      <c r="D78" s="44" t="str">
        <f t="shared" si="30"/>
        <v>Senior Personnel</v>
      </c>
      <c r="E78" s="268"/>
      <c r="F78" s="812"/>
      <c r="G78" s="813"/>
      <c r="H78" s="813"/>
      <c r="I78" s="813"/>
      <c r="J78" s="813"/>
      <c r="K78" s="813"/>
      <c r="L78" s="813"/>
      <c r="M78" s="813"/>
      <c r="N78" s="813"/>
      <c r="O78" s="813"/>
      <c r="P78" s="813"/>
      <c r="Q78" s="45">
        <f t="shared" si="26"/>
        <v>0</v>
      </c>
      <c r="R78" s="45">
        <f t="shared" si="26"/>
        <v>0</v>
      </c>
      <c r="S78" s="45">
        <f t="shared" si="26"/>
        <v>0</v>
      </c>
      <c r="T78" s="83">
        <f t="shared" si="27"/>
        <v>0</v>
      </c>
      <c r="U78" s="371">
        <f t="shared" si="32"/>
        <v>0</v>
      </c>
      <c r="V78" s="243">
        <f t="shared" si="28"/>
        <v>0</v>
      </c>
      <c r="W78" s="243">
        <f t="shared" si="28"/>
        <v>0</v>
      </c>
      <c r="X78" s="243">
        <f t="shared" si="28"/>
        <v>0</v>
      </c>
      <c r="Y78" s="244">
        <f t="shared" si="29"/>
        <v>0</v>
      </c>
      <c r="Z78" s="813"/>
      <c r="AA78" s="813"/>
      <c r="AB78" s="813"/>
      <c r="AC78" s="813"/>
      <c r="AD78" s="813"/>
      <c r="AE78" s="813"/>
      <c r="AF78" s="802">
        <f t="shared" si="33"/>
        <v>0</v>
      </c>
      <c r="AG78" s="802"/>
      <c r="AH78" s="44" t="str">
        <f t="shared" si="34"/>
        <v>Senior Personnel</v>
      </c>
      <c r="AI78" s="268"/>
      <c r="AJ78" s="180"/>
      <c r="AK78"/>
      <c r="AO78" s="159"/>
    </row>
    <row r="79" spans="2:41" ht="25.5" customHeight="1" thickTop="1" thickBot="1" x14ac:dyDescent="0.3">
      <c r="B79" s="802">
        <f t="shared" si="31"/>
        <v>0</v>
      </c>
      <c r="C79" s="802"/>
      <c r="D79" s="44" t="str">
        <f t="shared" si="30"/>
        <v>Senior Personnel</v>
      </c>
      <c r="E79" s="268"/>
      <c r="F79" s="812"/>
      <c r="G79" s="813"/>
      <c r="H79" s="813"/>
      <c r="I79" s="813"/>
      <c r="J79" s="813"/>
      <c r="K79" s="813"/>
      <c r="L79" s="813"/>
      <c r="M79" s="813"/>
      <c r="N79" s="813"/>
      <c r="O79" s="813"/>
      <c r="P79" s="813"/>
      <c r="Q79" s="45">
        <f t="shared" si="26"/>
        <v>0</v>
      </c>
      <c r="R79" s="45">
        <f t="shared" si="26"/>
        <v>0</v>
      </c>
      <c r="S79" s="45">
        <f t="shared" si="26"/>
        <v>0</v>
      </c>
      <c r="T79" s="83">
        <f t="shared" si="27"/>
        <v>0</v>
      </c>
      <c r="U79" s="371">
        <f t="shared" si="32"/>
        <v>0</v>
      </c>
      <c r="V79" s="243">
        <f t="shared" si="28"/>
        <v>0</v>
      </c>
      <c r="W79" s="243">
        <f t="shared" si="28"/>
        <v>0</v>
      </c>
      <c r="X79" s="243">
        <f t="shared" si="28"/>
        <v>0</v>
      </c>
      <c r="Y79" s="244">
        <f t="shared" si="29"/>
        <v>0</v>
      </c>
      <c r="Z79" s="813"/>
      <c r="AA79" s="813"/>
      <c r="AB79" s="813"/>
      <c r="AC79" s="813"/>
      <c r="AD79" s="813"/>
      <c r="AE79" s="813"/>
      <c r="AF79" s="802">
        <f t="shared" si="33"/>
        <v>0</v>
      </c>
      <c r="AG79" s="802"/>
      <c r="AH79" s="44" t="str">
        <f t="shared" si="34"/>
        <v>Senior Personnel</v>
      </c>
      <c r="AI79" s="268"/>
      <c r="AJ79" s="180"/>
      <c r="AK79"/>
      <c r="AO79" s="159"/>
    </row>
    <row r="80" spans="2:41" ht="25.5" customHeight="1" thickTop="1" thickBot="1" x14ac:dyDescent="0.3">
      <c r="B80" s="802">
        <f t="shared" si="31"/>
        <v>0</v>
      </c>
      <c r="C80" s="802"/>
      <c r="D80" s="44" t="str">
        <f t="shared" si="30"/>
        <v>Senior Personnel</v>
      </c>
      <c r="E80" s="268"/>
      <c r="F80" s="812"/>
      <c r="G80" s="813"/>
      <c r="H80" s="813"/>
      <c r="I80" s="813"/>
      <c r="J80" s="813"/>
      <c r="K80" s="813"/>
      <c r="L80" s="813"/>
      <c r="M80" s="813"/>
      <c r="N80" s="813"/>
      <c r="O80" s="813"/>
      <c r="P80" s="813"/>
      <c r="Q80" s="45">
        <f t="shared" si="26"/>
        <v>0</v>
      </c>
      <c r="R80" s="45">
        <f t="shared" si="26"/>
        <v>0</v>
      </c>
      <c r="S80" s="45">
        <f t="shared" si="26"/>
        <v>0</v>
      </c>
      <c r="T80" s="83">
        <f t="shared" si="27"/>
        <v>0</v>
      </c>
      <c r="U80" s="371">
        <f t="shared" si="32"/>
        <v>0</v>
      </c>
      <c r="V80" s="243">
        <f t="shared" si="28"/>
        <v>0</v>
      </c>
      <c r="W80" s="243">
        <f t="shared" si="28"/>
        <v>0</v>
      </c>
      <c r="X80" s="243">
        <f t="shared" si="28"/>
        <v>0</v>
      </c>
      <c r="Y80" s="244">
        <f t="shared" si="29"/>
        <v>0</v>
      </c>
      <c r="Z80" s="813"/>
      <c r="AA80" s="813"/>
      <c r="AB80" s="813"/>
      <c r="AC80" s="813"/>
      <c r="AD80" s="813"/>
      <c r="AE80" s="813"/>
      <c r="AF80" s="802">
        <f t="shared" si="33"/>
        <v>0</v>
      </c>
      <c r="AG80" s="802"/>
      <c r="AH80" s="44" t="str">
        <f t="shared" si="34"/>
        <v>Senior Personnel</v>
      </c>
      <c r="AI80" s="268"/>
      <c r="AJ80" s="180"/>
      <c r="AK80"/>
      <c r="AO80" s="159"/>
    </row>
    <row r="81" spans="2:42" ht="25.5" hidden="1" customHeight="1" outlineLevel="1" thickTop="1" thickBot="1" x14ac:dyDescent="0.3">
      <c r="B81" s="802">
        <f t="shared" si="31"/>
        <v>0</v>
      </c>
      <c r="C81" s="802"/>
      <c r="D81" s="44" t="str">
        <f t="shared" si="30"/>
        <v>Senior Personnel</v>
      </c>
      <c r="E81" s="268"/>
      <c r="F81" s="812"/>
      <c r="G81" s="813"/>
      <c r="H81" s="813"/>
      <c r="I81" s="813"/>
      <c r="J81" s="813"/>
      <c r="K81" s="813"/>
      <c r="L81" s="813"/>
      <c r="M81" s="813"/>
      <c r="N81" s="813"/>
      <c r="O81" s="813"/>
      <c r="P81" s="813"/>
      <c r="Q81" s="45">
        <f t="shared" si="26"/>
        <v>0</v>
      </c>
      <c r="R81" s="45">
        <f t="shared" si="26"/>
        <v>0</v>
      </c>
      <c r="S81" s="45">
        <f t="shared" si="26"/>
        <v>0</v>
      </c>
      <c r="T81" s="83">
        <f t="shared" si="27"/>
        <v>0</v>
      </c>
      <c r="U81" s="371">
        <f t="shared" si="32"/>
        <v>0</v>
      </c>
      <c r="V81" s="243">
        <f t="shared" si="28"/>
        <v>0</v>
      </c>
      <c r="W81" s="243">
        <f t="shared" si="28"/>
        <v>0</v>
      </c>
      <c r="X81" s="243">
        <f t="shared" si="28"/>
        <v>0</v>
      </c>
      <c r="Y81" s="244">
        <f t="shared" si="29"/>
        <v>0</v>
      </c>
      <c r="Z81" s="813"/>
      <c r="AA81" s="813"/>
      <c r="AB81" s="813"/>
      <c r="AC81" s="813"/>
      <c r="AD81" s="813"/>
      <c r="AE81" s="813"/>
      <c r="AF81" s="802">
        <f t="shared" si="33"/>
        <v>0</v>
      </c>
      <c r="AG81" s="802"/>
      <c r="AH81" s="44" t="str">
        <f t="shared" si="34"/>
        <v>Senior Personnel</v>
      </c>
      <c r="AI81" s="268"/>
      <c r="AJ81" s="180"/>
      <c r="AK81"/>
      <c r="AO81" s="159"/>
    </row>
    <row r="82" spans="2:42" ht="25.5" hidden="1" customHeight="1" outlineLevel="1" thickTop="1" thickBot="1" x14ac:dyDescent="0.3">
      <c r="B82" s="802">
        <f t="shared" si="31"/>
        <v>0</v>
      </c>
      <c r="C82" s="802"/>
      <c r="D82" s="44" t="str">
        <f t="shared" si="30"/>
        <v>Senior Personnel</v>
      </c>
      <c r="E82" s="268"/>
      <c r="F82" s="812"/>
      <c r="G82" s="813"/>
      <c r="H82" s="813"/>
      <c r="I82" s="813"/>
      <c r="J82" s="813"/>
      <c r="K82" s="813"/>
      <c r="L82" s="813"/>
      <c r="M82" s="813"/>
      <c r="N82" s="813"/>
      <c r="O82" s="813"/>
      <c r="P82" s="813"/>
      <c r="Q82" s="45">
        <f t="shared" si="26"/>
        <v>0</v>
      </c>
      <c r="R82" s="45">
        <f t="shared" si="26"/>
        <v>0</v>
      </c>
      <c r="S82" s="45">
        <f t="shared" si="26"/>
        <v>0</v>
      </c>
      <c r="T82" s="83">
        <f t="shared" si="27"/>
        <v>0</v>
      </c>
      <c r="U82" s="371">
        <f t="shared" si="32"/>
        <v>0</v>
      </c>
      <c r="V82" s="243">
        <f t="shared" si="28"/>
        <v>0</v>
      </c>
      <c r="W82" s="243">
        <f t="shared" si="28"/>
        <v>0</v>
      </c>
      <c r="X82" s="243">
        <f t="shared" si="28"/>
        <v>0</v>
      </c>
      <c r="Y82" s="244">
        <f t="shared" si="29"/>
        <v>0</v>
      </c>
      <c r="Z82" s="813"/>
      <c r="AA82" s="813"/>
      <c r="AB82" s="813"/>
      <c r="AC82" s="813"/>
      <c r="AD82" s="813"/>
      <c r="AE82" s="813"/>
      <c r="AF82" s="802">
        <f t="shared" si="33"/>
        <v>0</v>
      </c>
      <c r="AG82" s="802"/>
      <c r="AH82" s="44" t="str">
        <f t="shared" si="34"/>
        <v>Senior Personnel</v>
      </c>
      <c r="AI82" s="268"/>
      <c r="AJ82" s="180"/>
      <c r="AK82"/>
      <c r="AO82" s="159"/>
    </row>
    <row r="83" spans="2:42" ht="25.5" hidden="1" customHeight="1" outlineLevel="1" thickTop="1" thickBot="1" x14ac:dyDescent="0.3">
      <c r="B83" s="802">
        <f t="shared" si="31"/>
        <v>0</v>
      </c>
      <c r="C83" s="802"/>
      <c r="D83" s="44" t="str">
        <f t="shared" si="30"/>
        <v>Senior Personnel</v>
      </c>
      <c r="E83" s="268"/>
      <c r="F83" s="812"/>
      <c r="G83" s="813"/>
      <c r="H83" s="813"/>
      <c r="I83" s="813"/>
      <c r="J83" s="813"/>
      <c r="K83" s="813"/>
      <c r="L83" s="813"/>
      <c r="M83" s="813"/>
      <c r="N83" s="813"/>
      <c r="O83" s="813"/>
      <c r="P83" s="813"/>
      <c r="Q83" s="45">
        <f t="shared" si="26"/>
        <v>0</v>
      </c>
      <c r="R83" s="45">
        <f t="shared" si="26"/>
        <v>0</v>
      </c>
      <c r="S83" s="45">
        <f t="shared" si="26"/>
        <v>0</v>
      </c>
      <c r="T83" s="83">
        <f t="shared" si="27"/>
        <v>0</v>
      </c>
      <c r="U83" s="371">
        <f t="shared" si="32"/>
        <v>0</v>
      </c>
      <c r="V83" s="243">
        <f t="shared" si="28"/>
        <v>0</v>
      </c>
      <c r="W83" s="243">
        <f t="shared" si="28"/>
        <v>0</v>
      </c>
      <c r="X83" s="243">
        <f t="shared" si="28"/>
        <v>0</v>
      </c>
      <c r="Y83" s="244">
        <f t="shared" si="29"/>
        <v>0</v>
      </c>
      <c r="Z83" s="813"/>
      <c r="AA83" s="813"/>
      <c r="AB83" s="813"/>
      <c r="AC83" s="813"/>
      <c r="AD83" s="813"/>
      <c r="AE83" s="813"/>
      <c r="AF83" s="802">
        <f t="shared" si="33"/>
        <v>0</v>
      </c>
      <c r="AG83" s="802"/>
      <c r="AH83" s="44" t="str">
        <f t="shared" si="34"/>
        <v>Senior Personnel</v>
      </c>
      <c r="AI83" s="268"/>
      <c r="AJ83" s="180"/>
      <c r="AK83"/>
      <c r="AO83" s="159"/>
    </row>
    <row r="84" spans="2:42" ht="25.5" hidden="1" customHeight="1" outlineLevel="1" thickTop="1" thickBot="1" x14ac:dyDescent="0.3">
      <c r="B84" s="802">
        <f t="shared" si="31"/>
        <v>0</v>
      </c>
      <c r="C84" s="802"/>
      <c r="D84" s="44" t="str">
        <f t="shared" si="30"/>
        <v>Senior Personnel</v>
      </c>
      <c r="E84" s="268"/>
      <c r="F84" s="812"/>
      <c r="G84" s="813"/>
      <c r="H84" s="813"/>
      <c r="I84" s="813"/>
      <c r="J84" s="813"/>
      <c r="K84" s="813"/>
      <c r="L84" s="813"/>
      <c r="M84" s="813"/>
      <c r="N84" s="813"/>
      <c r="O84" s="813"/>
      <c r="P84" s="813"/>
      <c r="Q84" s="45">
        <f t="shared" si="26"/>
        <v>0</v>
      </c>
      <c r="R84" s="45">
        <f t="shared" si="26"/>
        <v>0</v>
      </c>
      <c r="S84" s="45">
        <f t="shared" si="26"/>
        <v>0</v>
      </c>
      <c r="T84" s="83">
        <f t="shared" si="27"/>
        <v>0</v>
      </c>
      <c r="U84" s="371">
        <f t="shared" si="32"/>
        <v>0</v>
      </c>
      <c r="V84" s="243">
        <f t="shared" si="28"/>
        <v>0</v>
      </c>
      <c r="W84" s="243">
        <f t="shared" si="28"/>
        <v>0</v>
      </c>
      <c r="X84" s="243">
        <f t="shared" si="28"/>
        <v>0</v>
      </c>
      <c r="Y84" s="244">
        <f t="shared" si="29"/>
        <v>0</v>
      </c>
      <c r="Z84" s="813"/>
      <c r="AA84" s="813"/>
      <c r="AB84" s="813"/>
      <c r="AC84" s="813"/>
      <c r="AD84" s="813"/>
      <c r="AE84" s="813"/>
      <c r="AF84" s="802">
        <f t="shared" si="33"/>
        <v>0</v>
      </c>
      <c r="AG84" s="802"/>
      <c r="AH84" s="44" t="str">
        <f t="shared" si="34"/>
        <v>Senior Personnel</v>
      </c>
      <c r="AI84" s="268"/>
      <c r="AJ84" s="180"/>
      <c r="AK84"/>
      <c r="AO84" s="159"/>
    </row>
    <row r="85" spans="2:42" ht="25.5" hidden="1" customHeight="1" outlineLevel="1" thickTop="1" thickBot="1" x14ac:dyDescent="0.3">
      <c r="B85" s="802">
        <f t="shared" si="31"/>
        <v>0</v>
      </c>
      <c r="C85" s="802"/>
      <c r="D85" s="44" t="str">
        <f t="shared" si="30"/>
        <v>Senior Personnel</v>
      </c>
      <c r="E85" s="268"/>
      <c r="F85" s="812"/>
      <c r="G85" s="813"/>
      <c r="H85" s="813"/>
      <c r="I85" s="813"/>
      <c r="J85" s="813"/>
      <c r="K85" s="813"/>
      <c r="L85" s="813"/>
      <c r="M85" s="813"/>
      <c r="N85" s="813"/>
      <c r="O85" s="813"/>
      <c r="P85" s="813"/>
      <c r="Q85" s="45">
        <f t="shared" si="26"/>
        <v>0</v>
      </c>
      <c r="R85" s="45">
        <f t="shared" si="26"/>
        <v>0</v>
      </c>
      <c r="S85" s="45">
        <f t="shared" si="26"/>
        <v>0</v>
      </c>
      <c r="T85" s="83">
        <f t="shared" si="27"/>
        <v>0</v>
      </c>
      <c r="U85" s="371">
        <f t="shared" si="32"/>
        <v>0</v>
      </c>
      <c r="V85" s="243">
        <f t="shared" si="28"/>
        <v>0</v>
      </c>
      <c r="W85" s="243">
        <f t="shared" si="28"/>
        <v>0</v>
      </c>
      <c r="X85" s="243">
        <f t="shared" si="28"/>
        <v>0</v>
      </c>
      <c r="Y85" s="244">
        <f t="shared" si="29"/>
        <v>0</v>
      </c>
      <c r="Z85" s="813"/>
      <c r="AA85" s="813"/>
      <c r="AB85" s="813"/>
      <c r="AC85" s="813"/>
      <c r="AD85" s="813"/>
      <c r="AE85" s="813"/>
      <c r="AF85" s="802">
        <f t="shared" si="33"/>
        <v>0</v>
      </c>
      <c r="AG85" s="802"/>
      <c r="AH85" s="44" t="str">
        <f t="shared" si="34"/>
        <v>Senior Personnel</v>
      </c>
      <c r="AI85" s="268"/>
      <c r="AJ85" s="180"/>
      <c r="AK85"/>
      <c r="AO85" s="159"/>
    </row>
    <row r="86" spans="2:42" ht="25.5" hidden="1" customHeight="1" outlineLevel="1" thickTop="1" thickBot="1" x14ac:dyDescent="0.3">
      <c r="B86" s="802">
        <f t="shared" si="31"/>
        <v>0</v>
      </c>
      <c r="C86" s="802"/>
      <c r="D86" s="44" t="str">
        <f t="shared" si="30"/>
        <v>Senior Personnel</v>
      </c>
      <c r="E86" s="268"/>
      <c r="F86" s="812"/>
      <c r="G86" s="813"/>
      <c r="H86" s="813"/>
      <c r="I86" s="813"/>
      <c r="J86" s="813"/>
      <c r="K86" s="813"/>
      <c r="L86" s="813"/>
      <c r="M86" s="813"/>
      <c r="N86" s="813"/>
      <c r="O86" s="813"/>
      <c r="P86" s="813"/>
      <c r="Q86" s="45">
        <f t="shared" si="26"/>
        <v>0</v>
      </c>
      <c r="R86" s="45">
        <f t="shared" si="26"/>
        <v>0</v>
      </c>
      <c r="S86" s="45">
        <f t="shared" si="26"/>
        <v>0</v>
      </c>
      <c r="T86" s="83">
        <f t="shared" si="27"/>
        <v>0</v>
      </c>
      <c r="U86" s="371">
        <f t="shared" si="32"/>
        <v>0</v>
      </c>
      <c r="V86" s="243">
        <f t="shared" si="28"/>
        <v>0</v>
      </c>
      <c r="W86" s="243">
        <f t="shared" si="28"/>
        <v>0</v>
      </c>
      <c r="X86" s="243">
        <f t="shared" si="28"/>
        <v>0</v>
      </c>
      <c r="Y86" s="244">
        <f t="shared" si="29"/>
        <v>0</v>
      </c>
      <c r="Z86" s="813"/>
      <c r="AA86" s="813"/>
      <c r="AB86" s="813"/>
      <c r="AC86" s="813"/>
      <c r="AD86" s="813"/>
      <c r="AE86" s="813"/>
      <c r="AF86" s="802">
        <f t="shared" si="33"/>
        <v>0</v>
      </c>
      <c r="AG86" s="802"/>
      <c r="AH86" s="44" t="str">
        <f t="shared" si="34"/>
        <v>Senior Personnel</v>
      </c>
      <c r="AI86" s="268"/>
      <c r="AJ86" s="180"/>
      <c r="AK86"/>
      <c r="AO86" s="159"/>
    </row>
    <row r="87" spans="2:42" ht="25.5" hidden="1" customHeight="1" outlineLevel="1" thickTop="1" thickBot="1" x14ac:dyDescent="0.3">
      <c r="B87" s="802">
        <f t="shared" si="31"/>
        <v>0</v>
      </c>
      <c r="C87" s="802"/>
      <c r="D87" s="44" t="str">
        <f t="shared" si="30"/>
        <v>Senior Personnel</v>
      </c>
      <c r="E87" s="268"/>
      <c r="F87" s="812"/>
      <c r="G87" s="813"/>
      <c r="H87" s="813"/>
      <c r="I87" s="813"/>
      <c r="J87" s="813"/>
      <c r="K87" s="813"/>
      <c r="L87" s="813"/>
      <c r="M87" s="813"/>
      <c r="N87" s="813"/>
      <c r="O87" s="813"/>
      <c r="P87" s="813"/>
      <c r="Q87" s="45">
        <f t="shared" ref="Q87:S90" si="35">ROUND($E87*Q27,0)</f>
        <v>0</v>
      </c>
      <c r="R87" s="45">
        <f t="shared" si="35"/>
        <v>0</v>
      </c>
      <c r="S87" s="45">
        <f t="shared" si="35"/>
        <v>0</v>
      </c>
      <c r="T87" s="83">
        <f t="shared" si="27"/>
        <v>0</v>
      </c>
      <c r="U87" s="371">
        <f t="shared" si="32"/>
        <v>0</v>
      </c>
      <c r="V87" s="243">
        <f t="shared" si="28"/>
        <v>0</v>
      </c>
      <c r="W87" s="243">
        <f t="shared" si="28"/>
        <v>0</v>
      </c>
      <c r="X87" s="243">
        <f t="shared" si="28"/>
        <v>0</v>
      </c>
      <c r="Y87" s="244">
        <f t="shared" si="29"/>
        <v>0</v>
      </c>
      <c r="Z87" s="813"/>
      <c r="AA87" s="813"/>
      <c r="AB87" s="813"/>
      <c r="AC87" s="813"/>
      <c r="AD87" s="813"/>
      <c r="AE87" s="813"/>
      <c r="AF87" s="802">
        <f t="shared" si="33"/>
        <v>0</v>
      </c>
      <c r="AG87" s="802"/>
      <c r="AH87" s="44" t="str">
        <f t="shared" si="34"/>
        <v>Senior Personnel</v>
      </c>
      <c r="AI87" s="268"/>
      <c r="AJ87" s="180"/>
      <c r="AK87"/>
      <c r="AO87" s="159"/>
    </row>
    <row r="88" spans="2:42" ht="22.5" hidden="1" customHeight="1" outlineLevel="1" thickTop="1" thickBot="1" x14ac:dyDescent="0.3">
      <c r="B88" s="802">
        <f>B28</f>
        <v>0</v>
      </c>
      <c r="C88" s="802"/>
      <c r="D88" s="44" t="str">
        <f>D28</f>
        <v>Senior Personnel</v>
      </c>
      <c r="E88" s="268"/>
      <c r="F88" s="812"/>
      <c r="G88" s="813"/>
      <c r="H88" s="813"/>
      <c r="I88" s="813"/>
      <c r="J88" s="813"/>
      <c r="K88" s="813"/>
      <c r="L88" s="813"/>
      <c r="M88" s="813"/>
      <c r="N88" s="813"/>
      <c r="O88" s="813"/>
      <c r="P88" s="813"/>
      <c r="Q88" s="45">
        <f t="shared" si="35"/>
        <v>0</v>
      </c>
      <c r="R88" s="45">
        <f t="shared" si="35"/>
        <v>0</v>
      </c>
      <c r="S88" s="45">
        <f t="shared" si="35"/>
        <v>0</v>
      </c>
      <c r="T88" s="83">
        <f t="shared" si="27"/>
        <v>0</v>
      </c>
      <c r="U88" s="371">
        <f>T88+Y88</f>
        <v>0</v>
      </c>
      <c r="V88" s="243">
        <f t="shared" si="28"/>
        <v>0</v>
      </c>
      <c r="W88" s="243">
        <f t="shared" si="28"/>
        <v>0</v>
      </c>
      <c r="X88" s="243">
        <f t="shared" si="28"/>
        <v>0</v>
      </c>
      <c r="Y88" s="244">
        <f t="shared" si="29"/>
        <v>0</v>
      </c>
      <c r="Z88" s="813"/>
      <c r="AA88" s="813"/>
      <c r="AB88" s="813"/>
      <c r="AC88" s="813"/>
      <c r="AD88" s="813"/>
      <c r="AE88" s="813"/>
      <c r="AF88" s="802">
        <f>AF28</f>
        <v>0</v>
      </c>
      <c r="AG88" s="802"/>
      <c r="AH88" s="44" t="str">
        <f>AH28</f>
        <v>Senior Personnel</v>
      </c>
      <c r="AI88" s="268"/>
      <c r="AJ88" s="180"/>
      <c r="AK88"/>
      <c r="AO88" s="159"/>
    </row>
    <row r="89" spans="2:42" ht="22.5" hidden="1" customHeight="1" outlineLevel="1" thickTop="1" thickBot="1" x14ac:dyDescent="0.3">
      <c r="B89" s="802">
        <f>B29</f>
        <v>0</v>
      </c>
      <c r="C89" s="802"/>
      <c r="D89" s="44" t="str">
        <f>D29</f>
        <v>Senior Personnel</v>
      </c>
      <c r="E89" s="268"/>
      <c r="F89" s="812"/>
      <c r="G89" s="813"/>
      <c r="H89" s="813"/>
      <c r="I89" s="813"/>
      <c r="J89" s="813"/>
      <c r="K89" s="813"/>
      <c r="L89" s="813"/>
      <c r="M89" s="813"/>
      <c r="N89" s="813"/>
      <c r="O89" s="813"/>
      <c r="P89" s="813"/>
      <c r="Q89" s="45">
        <f t="shared" si="35"/>
        <v>0</v>
      </c>
      <c r="R89" s="45">
        <f t="shared" si="35"/>
        <v>0</v>
      </c>
      <c r="S89" s="45">
        <f t="shared" si="35"/>
        <v>0</v>
      </c>
      <c r="T89" s="83">
        <f t="shared" si="27"/>
        <v>0</v>
      </c>
      <c r="U89" s="371">
        <f>T89+Y89</f>
        <v>0</v>
      </c>
      <c r="V89" s="243">
        <f t="shared" si="28"/>
        <v>0</v>
      </c>
      <c r="W89" s="243">
        <f t="shared" si="28"/>
        <v>0</v>
      </c>
      <c r="X89" s="243">
        <f t="shared" si="28"/>
        <v>0</v>
      </c>
      <c r="Y89" s="244">
        <f t="shared" si="29"/>
        <v>0</v>
      </c>
      <c r="Z89" s="813"/>
      <c r="AA89" s="813"/>
      <c r="AB89" s="813"/>
      <c r="AC89" s="813"/>
      <c r="AD89" s="813"/>
      <c r="AE89" s="813"/>
      <c r="AF89" s="802">
        <f>AF29</f>
        <v>0</v>
      </c>
      <c r="AG89" s="802"/>
      <c r="AH89" s="44" t="str">
        <f>AH29</f>
        <v>Senior Personnel</v>
      </c>
      <c r="AI89" s="268"/>
      <c r="AJ89" s="180"/>
      <c r="AK89"/>
      <c r="AO89" s="159"/>
    </row>
    <row r="90" spans="2:42" ht="22.5" hidden="1" customHeight="1" outlineLevel="1" thickTop="1" thickBot="1" x14ac:dyDescent="0.3">
      <c r="B90" s="802">
        <f>B30</f>
        <v>0</v>
      </c>
      <c r="C90" s="802"/>
      <c r="D90" s="44" t="str">
        <f>D30</f>
        <v>Senior Personnel</v>
      </c>
      <c r="E90" s="268"/>
      <c r="F90" s="812"/>
      <c r="G90" s="813"/>
      <c r="H90" s="813"/>
      <c r="I90" s="813"/>
      <c r="J90" s="813"/>
      <c r="K90" s="813"/>
      <c r="L90" s="813"/>
      <c r="M90" s="813"/>
      <c r="N90" s="813"/>
      <c r="O90" s="813"/>
      <c r="P90" s="813"/>
      <c r="Q90" s="45">
        <f t="shared" si="35"/>
        <v>0</v>
      </c>
      <c r="R90" s="45">
        <f t="shared" si="35"/>
        <v>0</v>
      </c>
      <c r="S90" s="45">
        <f t="shared" si="35"/>
        <v>0</v>
      </c>
      <c r="T90" s="83">
        <f t="shared" si="27"/>
        <v>0</v>
      </c>
      <c r="U90" s="371">
        <f>T90+Y90</f>
        <v>0</v>
      </c>
      <c r="V90" s="243">
        <f t="shared" si="28"/>
        <v>0</v>
      </c>
      <c r="W90" s="243">
        <f t="shared" si="28"/>
        <v>0</v>
      </c>
      <c r="X90" s="243">
        <f t="shared" si="28"/>
        <v>0</v>
      </c>
      <c r="Y90" s="244">
        <f t="shared" si="29"/>
        <v>0</v>
      </c>
      <c r="Z90" s="813"/>
      <c r="AA90" s="813"/>
      <c r="AB90" s="813"/>
      <c r="AC90" s="813"/>
      <c r="AD90" s="813"/>
      <c r="AE90" s="813"/>
      <c r="AF90" s="802">
        <f>AF30</f>
        <v>0</v>
      </c>
      <c r="AG90" s="802"/>
      <c r="AH90" s="44" t="str">
        <f>AH30</f>
        <v>Senior Personnel</v>
      </c>
      <c r="AI90" s="268"/>
      <c r="AJ90" s="180"/>
      <c r="AK90"/>
      <c r="AO90" s="159"/>
    </row>
    <row r="91" spans="2:42" ht="45.75" customHeight="1" collapsed="1" thickTop="1" thickBot="1" x14ac:dyDescent="0.3">
      <c r="B91" s="691" t="s">
        <v>181</v>
      </c>
      <c r="C91" s="691"/>
      <c r="D91" s="691"/>
      <c r="E91" s="691"/>
      <c r="F91" s="691"/>
      <c r="G91" s="691"/>
      <c r="H91" s="691"/>
      <c r="I91" s="691"/>
      <c r="J91" s="404"/>
      <c r="K91" s="404"/>
      <c r="L91" s="404"/>
      <c r="M91" s="404"/>
      <c r="N91" s="404"/>
      <c r="O91" s="404"/>
      <c r="P91" s="404"/>
      <c r="Q91" s="405">
        <f t="shared" ref="Q91:S91" si="36">SUM(Q71:Q90)</f>
        <v>0</v>
      </c>
      <c r="R91" s="405">
        <f t="shared" si="36"/>
        <v>0</v>
      </c>
      <c r="S91" s="408">
        <f t="shared" si="36"/>
        <v>0</v>
      </c>
      <c r="T91" s="408">
        <f>SUM(T71:T90)</f>
        <v>0</v>
      </c>
      <c r="U91" s="371">
        <f>T91+Y91</f>
        <v>0</v>
      </c>
      <c r="V91" s="527">
        <f>SUM(V71:V90)</f>
        <v>0</v>
      </c>
      <c r="W91" s="526">
        <f>SUM(W71:W90)</f>
        <v>0</v>
      </c>
      <c r="X91" s="526">
        <f>SUM(X71:X90)</f>
        <v>0</v>
      </c>
      <c r="Y91" s="527">
        <f>SUM(Y71:Y90)</f>
        <v>0</v>
      </c>
      <c r="Z91" s="406"/>
      <c r="AA91" s="803" t="s">
        <v>182</v>
      </c>
      <c r="AB91" s="803"/>
      <c r="AC91" s="803"/>
      <c r="AD91" s="803"/>
      <c r="AE91" s="803"/>
      <c r="AF91" s="803"/>
      <c r="AG91" s="803"/>
      <c r="AH91" s="803"/>
      <c r="AI91" s="803"/>
      <c r="AJ91" s="803"/>
      <c r="AK91" s="803"/>
      <c r="AL91" s="803"/>
      <c r="AM91" s="803"/>
      <c r="AN91" s="803"/>
      <c r="AO91" s="804"/>
      <c r="AP91" s="40"/>
    </row>
    <row r="92" spans="2:42" ht="52.5" customHeight="1" thickBot="1" x14ac:dyDescent="0.35">
      <c r="B92" s="665" t="s">
        <v>183</v>
      </c>
      <c r="C92" s="665"/>
      <c r="D92" s="665"/>
      <c r="E92" s="665"/>
      <c r="F92" s="665"/>
      <c r="G92" s="665"/>
      <c r="H92" s="665"/>
      <c r="I92" s="665"/>
      <c r="J92" s="665"/>
      <c r="K92" s="665"/>
      <c r="L92" s="665"/>
      <c r="M92" s="665"/>
      <c r="N92" s="665"/>
      <c r="O92" s="665"/>
      <c r="P92" s="665"/>
      <c r="Q92" s="665"/>
      <c r="R92" s="665"/>
      <c r="S92" s="665"/>
      <c r="T92" s="665"/>
      <c r="U92" s="237"/>
      <c r="V92" s="666" t="s">
        <v>183</v>
      </c>
      <c r="W92" s="666"/>
      <c r="X92" s="666"/>
      <c r="Y92" s="666"/>
      <c r="Z92" s="666"/>
      <c r="AA92" s="666"/>
      <c r="AB92" s="666"/>
      <c r="AC92" s="666"/>
      <c r="AD92" s="666"/>
      <c r="AE92" s="666"/>
      <c r="AF92" s="666"/>
      <c r="AG92" s="666"/>
      <c r="AH92" s="666"/>
      <c r="AI92" s="666"/>
      <c r="AJ92" s="666"/>
      <c r="AK92" s="666"/>
      <c r="AL92" s="666"/>
      <c r="AM92" s="666"/>
      <c r="AN92" s="666"/>
      <c r="AO92" s="666"/>
    </row>
    <row r="93" spans="2:42" ht="39.75" customHeight="1" thickTop="1" x14ac:dyDescent="0.25">
      <c r="B93" s="68" t="s">
        <v>137</v>
      </c>
      <c r="C93" s="66" t="s">
        <v>138</v>
      </c>
      <c r="D93" s="66"/>
      <c r="E93" s="69" t="s">
        <v>179</v>
      </c>
      <c r="F93" s="805" t="s">
        <v>180</v>
      </c>
      <c r="G93" s="805"/>
      <c r="H93" s="805"/>
      <c r="I93" s="805"/>
      <c r="J93" s="805"/>
      <c r="K93" s="805"/>
      <c r="L93" s="805"/>
      <c r="M93" s="805"/>
      <c r="N93" s="805"/>
      <c r="O93" s="805"/>
      <c r="P93" s="805"/>
      <c r="Q93" s="64" t="s">
        <v>123</v>
      </c>
      <c r="R93" s="64" t="s">
        <v>124</v>
      </c>
      <c r="S93" s="64" t="s">
        <v>125</v>
      </c>
      <c r="T93" s="373" t="s">
        <v>110</v>
      </c>
      <c r="U93" s="371"/>
      <c r="V93" s="67" t="s">
        <v>123</v>
      </c>
      <c r="W93" s="67" t="s">
        <v>124</v>
      </c>
      <c r="X93" s="67" t="s">
        <v>125</v>
      </c>
      <c r="Y93" s="373" t="s">
        <v>126</v>
      </c>
      <c r="Z93" s="805" t="s">
        <v>180</v>
      </c>
      <c r="AA93" s="805"/>
      <c r="AB93" s="805"/>
      <c r="AC93" s="805"/>
      <c r="AD93" s="805"/>
      <c r="AE93" s="805"/>
      <c r="AF93" s="68" t="s">
        <v>137</v>
      </c>
      <c r="AG93" s="66" t="s">
        <v>138</v>
      </c>
      <c r="AH93" s="66"/>
      <c r="AI93" s="69" t="s">
        <v>179</v>
      </c>
      <c r="AJ93" s="181"/>
      <c r="AK93"/>
      <c r="AL93" s="181"/>
      <c r="AO93" s="159"/>
    </row>
    <row r="94" spans="2:42" ht="25.5" customHeight="1" thickBot="1" x14ac:dyDescent="0.3">
      <c r="B94" s="46">
        <f>B34</f>
        <v>0</v>
      </c>
      <c r="C94" s="801" t="str">
        <f>C34</f>
        <v>Research Assistant</v>
      </c>
      <c r="D94" s="801"/>
      <c r="E94" s="269"/>
      <c r="F94" s="806"/>
      <c r="G94" s="806"/>
      <c r="H94" s="806"/>
      <c r="I94" s="806"/>
      <c r="J94" s="806"/>
      <c r="K94" s="806"/>
      <c r="L94" s="806"/>
      <c r="M94" s="806"/>
      <c r="N94" s="806"/>
      <c r="O94" s="806"/>
      <c r="P94" s="806"/>
      <c r="Q94" s="45">
        <f>ROUND($E94*Q34,0)</f>
        <v>0</v>
      </c>
      <c r="R94" s="45">
        <f>ROUND($E94*R34,0)</f>
        <v>0</v>
      </c>
      <c r="S94" s="45">
        <f>ROUND($E94*S34,0)</f>
        <v>0</v>
      </c>
      <c r="T94" s="83">
        <f t="shared" ref="T94:T113" si="37">SUM(Q94:S94)</f>
        <v>0</v>
      </c>
      <c r="U94" s="371">
        <f>T94+Y94</f>
        <v>0</v>
      </c>
      <c r="V94" s="243">
        <f t="shared" ref="V94:X113" si="38">ROUND($AI94*V34,0)</f>
        <v>0</v>
      </c>
      <c r="W94" s="243">
        <f t="shared" si="38"/>
        <v>0</v>
      </c>
      <c r="X94" s="243">
        <f t="shared" si="38"/>
        <v>0</v>
      </c>
      <c r="Y94" s="244">
        <f t="shared" ref="Y94:Y113" si="39">SUM(V94:X94)</f>
        <v>0</v>
      </c>
      <c r="Z94" s="807"/>
      <c r="AA94" s="807"/>
      <c r="AB94" s="807"/>
      <c r="AC94" s="807"/>
      <c r="AD94" s="807"/>
      <c r="AE94" s="807"/>
      <c r="AF94" s="46">
        <f>AF34</f>
        <v>0</v>
      </c>
      <c r="AG94" s="801" t="str">
        <f>AG34</f>
        <v>Research Assistant</v>
      </c>
      <c r="AH94" s="801"/>
      <c r="AI94" s="269"/>
      <c r="AJ94" s="182"/>
      <c r="AK94"/>
      <c r="AL94" s="182"/>
      <c r="AO94" s="159"/>
    </row>
    <row r="95" spans="2:42" ht="25.5" customHeight="1" thickTop="1" thickBot="1" x14ac:dyDescent="0.3">
      <c r="B95" s="46">
        <f t="shared" ref="B95:C110" si="40">B35</f>
        <v>0</v>
      </c>
      <c r="C95" s="801" t="str">
        <f t="shared" si="40"/>
        <v>Post-Doc</v>
      </c>
      <c r="D95" s="801"/>
      <c r="E95" s="269"/>
      <c r="F95" s="806"/>
      <c r="G95" s="806"/>
      <c r="H95" s="806"/>
      <c r="I95" s="806"/>
      <c r="J95" s="806"/>
      <c r="K95" s="806"/>
      <c r="L95" s="806"/>
      <c r="M95" s="806"/>
      <c r="N95" s="806"/>
      <c r="O95" s="806"/>
      <c r="P95" s="806"/>
      <c r="Q95" s="45">
        <f t="shared" ref="Q95:S110" si="41">ROUND($E95*Q35,0)</f>
        <v>0</v>
      </c>
      <c r="R95" s="45">
        <f>ROUND($E95*R35,0)</f>
        <v>0</v>
      </c>
      <c r="S95" s="45">
        <f t="shared" si="41"/>
        <v>0</v>
      </c>
      <c r="T95" s="83">
        <f t="shared" si="37"/>
        <v>0</v>
      </c>
      <c r="U95" s="371">
        <f t="shared" ref="U95:U104" si="42">T95+Y95</f>
        <v>0</v>
      </c>
      <c r="V95" s="243">
        <f t="shared" si="38"/>
        <v>0</v>
      </c>
      <c r="W95" s="243">
        <f t="shared" si="38"/>
        <v>0</v>
      </c>
      <c r="X95" s="243">
        <f t="shared" si="38"/>
        <v>0</v>
      </c>
      <c r="Y95" s="244">
        <f t="shared" si="39"/>
        <v>0</v>
      </c>
      <c r="Z95" s="807"/>
      <c r="AA95" s="807"/>
      <c r="AB95" s="807"/>
      <c r="AC95" s="807"/>
      <c r="AD95" s="807"/>
      <c r="AE95" s="807"/>
      <c r="AF95" s="46">
        <f t="shared" ref="AF95:AG110" si="43">AF35</f>
        <v>0</v>
      </c>
      <c r="AG95" s="801" t="str">
        <f t="shared" si="43"/>
        <v>Post-Doc</v>
      </c>
      <c r="AH95" s="801"/>
      <c r="AI95" s="269"/>
      <c r="AJ95" s="182"/>
      <c r="AK95"/>
      <c r="AL95" s="182"/>
      <c r="AO95" s="159"/>
    </row>
    <row r="96" spans="2:42" ht="25.5" customHeight="1" thickTop="1" thickBot="1" x14ac:dyDescent="0.3">
      <c r="B96" s="46">
        <f t="shared" si="40"/>
        <v>0</v>
      </c>
      <c r="C96" s="801" t="str">
        <f t="shared" si="40"/>
        <v xml:space="preserve">Undergrad - AY </v>
      </c>
      <c r="D96" s="801"/>
      <c r="E96" s="269">
        <v>4.1000000000000003E-3</v>
      </c>
      <c r="F96" s="806"/>
      <c r="G96" s="806"/>
      <c r="H96" s="806"/>
      <c r="I96" s="806"/>
      <c r="J96" s="806"/>
      <c r="K96" s="806"/>
      <c r="L96" s="806"/>
      <c r="M96" s="806"/>
      <c r="N96" s="806"/>
      <c r="O96" s="806"/>
      <c r="P96" s="806"/>
      <c r="Q96" s="45">
        <f t="shared" si="41"/>
        <v>0</v>
      </c>
      <c r="R96" s="45">
        <f t="shared" si="41"/>
        <v>0</v>
      </c>
      <c r="S96" s="45">
        <f t="shared" si="41"/>
        <v>0</v>
      </c>
      <c r="T96" s="83">
        <f t="shared" si="37"/>
        <v>0</v>
      </c>
      <c r="U96" s="371">
        <f t="shared" si="42"/>
        <v>0</v>
      </c>
      <c r="V96" s="243">
        <f t="shared" si="38"/>
        <v>0</v>
      </c>
      <c r="W96" s="243">
        <f t="shared" si="38"/>
        <v>0</v>
      </c>
      <c r="X96" s="243">
        <f t="shared" si="38"/>
        <v>0</v>
      </c>
      <c r="Y96" s="244">
        <f t="shared" si="39"/>
        <v>0</v>
      </c>
      <c r="Z96" s="807"/>
      <c r="AA96" s="807"/>
      <c r="AB96" s="807"/>
      <c r="AC96" s="807"/>
      <c r="AD96" s="807"/>
      <c r="AE96" s="807"/>
      <c r="AF96" s="46">
        <f t="shared" si="43"/>
        <v>0</v>
      </c>
      <c r="AG96" s="801" t="str">
        <f t="shared" si="43"/>
        <v xml:space="preserve">Undergrad - AY </v>
      </c>
      <c r="AH96" s="801"/>
      <c r="AI96" s="269">
        <v>4.1000000000000003E-3</v>
      </c>
      <c r="AJ96" s="182"/>
      <c r="AK96"/>
      <c r="AL96" s="182"/>
      <c r="AO96" s="159"/>
    </row>
    <row r="97" spans="2:41" ht="25.5" customHeight="1" thickTop="1" thickBot="1" x14ac:dyDescent="0.3">
      <c r="B97" s="46">
        <f t="shared" si="40"/>
        <v>0</v>
      </c>
      <c r="C97" s="801" t="str">
        <f t="shared" si="40"/>
        <v>Undergrad - SM</v>
      </c>
      <c r="D97" s="801"/>
      <c r="E97" s="269">
        <v>8.0600000000000005E-2</v>
      </c>
      <c r="F97" s="806"/>
      <c r="G97" s="806"/>
      <c r="H97" s="806"/>
      <c r="I97" s="806"/>
      <c r="J97" s="806"/>
      <c r="K97" s="806"/>
      <c r="L97" s="806"/>
      <c r="M97" s="806"/>
      <c r="N97" s="806"/>
      <c r="O97" s="806"/>
      <c r="P97" s="806"/>
      <c r="Q97" s="45">
        <f t="shared" si="41"/>
        <v>0</v>
      </c>
      <c r="R97" s="45">
        <f t="shared" si="41"/>
        <v>0</v>
      </c>
      <c r="S97" s="45">
        <f t="shared" si="41"/>
        <v>0</v>
      </c>
      <c r="T97" s="83">
        <f t="shared" si="37"/>
        <v>0</v>
      </c>
      <c r="U97" s="371">
        <f t="shared" si="42"/>
        <v>0</v>
      </c>
      <c r="V97" s="243">
        <f t="shared" si="38"/>
        <v>0</v>
      </c>
      <c r="W97" s="243">
        <f t="shared" si="38"/>
        <v>0</v>
      </c>
      <c r="X97" s="243">
        <f t="shared" si="38"/>
        <v>0</v>
      </c>
      <c r="Y97" s="244">
        <f t="shared" si="39"/>
        <v>0</v>
      </c>
      <c r="Z97" s="807"/>
      <c r="AA97" s="807"/>
      <c r="AB97" s="807"/>
      <c r="AC97" s="807"/>
      <c r="AD97" s="807"/>
      <c r="AE97" s="807"/>
      <c r="AF97" s="46">
        <f t="shared" si="43"/>
        <v>0</v>
      </c>
      <c r="AG97" s="801" t="str">
        <f t="shared" si="43"/>
        <v>Undergrad - SM</v>
      </c>
      <c r="AH97" s="801"/>
      <c r="AI97" s="269">
        <v>8.0600000000000005E-2</v>
      </c>
      <c r="AJ97" s="182"/>
      <c r="AK97"/>
      <c r="AL97" s="182"/>
      <c r="AO97" s="159"/>
    </row>
    <row r="98" spans="2:41" ht="25.5" customHeight="1" thickTop="1" thickBot="1" x14ac:dyDescent="0.3">
      <c r="B98" s="46">
        <f t="shared" si="40"/>
        <v>0</v>
      </c>
      <c r="C98" s="801" t="str">
        <f t="shared" si="40"/>
        <v>Temp Employee</v>
      </c>
      <c r="D98" s="801"/>
      <c r="E98" s="269"/>
      <c r="F98" s="806"/>
      <c r="G98" s="806"/>
      <c r="H98" s="806"/>
      <c r="I98" s="806"/>
      <c r="J98" s="806"/>
      <c r="K98" s="806"/>
      <c r="L98" s="806"/>
      <c r="M98" s="806"/>
      <c r="N98" s="806"/>
      <c r="O98" s="806"/>
      <c r="P98" s="806"/>
      <c r="Q98" s="45">
        <f t="shared" si="41"/>
        <v>0</v>
      </c>
      <c r="R98" s="45">
        <f t="shared" si="41"/>
        <v>0</v>
      </c>
      <c r="S98" s="45">
        <f t="shared" si="41"/>
        <v>0</v>
      </c>
      <c r="T98" s="83">
        <f t="shared" si="37"/>
        <v>0</v>
      </c>
      <c r="U98" s="371">
        <f t="shared" si="42"/>
        <v>0</v>
      </c>
      <c r="V98" s="243">
        <f t="shared" si="38"/>
        <v>0</v>
      </c>
      <c r="W98" s="243">
        <f t="shared" si="38"/>
        <v>0</v>
      </c>
      <c r="X98" s="243">
        <f t="shared" si="38"/>
        <v>0</v>
      </c>
      <c r="Y98" s="244">
        <f t="shared" si="39"/>
        <v>0</v>
      </c>
      <c r="Z98" s="807"/>
      <c r="AA98" s="807"/>
      <c r="AB98" s="807"/>
      <c r="AC98" s="807"/>
      <c r="AD98" s="807"/>
      <c r="AE98" s="807"/>
      <c r="AF98" s="46">
        <f t="shared" si="43"/>
        <v>0</v>
      </c>
      <c r="AG98" s="801" t="str">
        <f t="shared" si="43"/>
        <v>Temp Employee</v>
      </c>
      <c r="AH98" s="801"/>
      <c r="AI98" s="269"/>
      <c r="AJ98" s="182"/>
      <c r="AK98"/>
      <c r="AL98" s="182"/>
      <c r="AO98" s="159"/>
    </row>
    <row r="99" spans="2:41" ht="25.5" customHeight="1" thickTop="1" thickBot="1" x14ac:dyDescent="0.3">
      <c r="B99" s="46">
        <f t="shared" si="40"/>
        <v>0</v>
      </c>
      <c r="C99" s="801" t="str">
        <f t="shared" si="40"/>
        <v>Student Worker</v>
      </c>
      <c r="D99" s="801"/>
      <c r="E99" s="269"/>
      <c r="F99" s="806"/>
      <c r="G99" s="806"/>
      <c r="H99" s="806"/>
      <c r="I99" s="806"/>
      <c r="J99" s="806"/>
      <c r="K99" s="806"/>
      <c r="L99" s="806"/>
      <c r="M99" s="806"/>
      <c r="N99" s="806"/>
      <c r="O99" s="806"/>
      <c r="P99" s="806"/>
      <c r="Q99" s="45">
        <f t="shared" si="41"/>
        <v>0</v>
      </c>
      <c r="R99" s="45">
        <f t="shared" si="41"/>
        <v>0</v>
      </c>
      <c r="S99" s="45">
        <f t="shared" si="41"/>
        <v>0</v>
      </c>
      <c r="T99" s="83">
        <f t="shared" si="37"/>
        <v>0</v>
      </c>
      <c r="U99" s="371">
        <f t="shared" si="42"/>
        <v>0</v>
      </c>
      <c r="V99" s="243">
        <f t="shared" si="38"/>
        <v>0</v>
      </c>
      <c r="W99" s="243">
        <f t="shared" si="38"/>
        <v>0</v>
      </c>
      <c r="X99" s="243">
        <f t="shared" si="38"/>
        <v>0</v>
      </c>
      <c r="Y99" s="244">
        <f t="shared" si="39"/>
        <v>0</v>
      </c>
      <c r="Z99" s="807"/>
      <c r="AA99" s="807"/>
      <c r="AB99" s="807"/>
      <c r="AC99" s="807"/>
      <c r="AD99" s="807"/>
      <c r="AE99" s="807"/>
      <c r="AF99" s="46">
        <f t="shared" si="43"/>
        <v>0</v>
      </c>
      <c r="AG99" s="801" t="str">
        <f t="shared" si="43"/>
        <v>Student Worker</v>
      </c>
      <c r="AH99" s="801"/>
      <c r="AI99" s="269"/>
      <c r="AJ99" s="182"/>
      <c r="AK99"/>
      <c r="AL99" s="182"/>
      <c r="AO99" s="159"/>
    </row>
    <row r="100" spans="2:41" ht="25.5" customHeight="1" thickTop="1" thickBot="1" x14ac:dyDescent="0.3">
      <c r="B100" s="46">
        <f t="shared" si="40"/>
        <v>0</v>
      </c>
      <c r="C100" s="801">
        <f t="shared" si="40"/>
        <v>0</v>
      </c>
      <c r="D100" s="801"/>
      <c r="E100" s="269"/>
      <c r="F100" s="806"/>
      <c r="G100" s="806"/>
      <c r="H100" s="806"/>
      <c r="I100" s="806"/>
      <c r="J100" s="806"/>
      <c r="K100" s="806"/>
      <c r="L100" s="806"/>
      <c r="M100" s="806"/>
      <c r="N100" s="806"/>
      <c r="O100" s="806"/>
      <c r="P100" s="806"/>
      <c r="Q100" s="45">
        <f t="shared" si="41"/>
        <v>0</v>
      </c>
      <c r="R100" s="45">
        <f t="shared" si="41"/>
        <v>0</v>
      </c>
      <c r="S100" s="45">
        <f t="shared" si="41"/>
        <v>0</v>
      </c>
      <c r="T100" s="83">
        <f t="shared" si="37"/>
        <v>0</v>
      </c>
      <c r="U100" s="371">
        <f t="shared" si="42"/>
        <v>0</v>
      </c>
      <c r="V100" s="243">
        <f t="shared" si="38"/>
        <v>0</v>
      </c>
      <c r="W100" s="243">
        <f t="shared" si="38"/>
        <v>0</v>
      </c>
      <c r="X100" s="243">
        <f t="shared" si="38"/>
        <v>0</v>
      </c>
      <c r="Y100" s="244">
        <f t="shared" si="39"/>
        <v>0</v>
      </c>
      <c r="Z100" s="807"/>
      <c r="AA100" s="807"/>
      <c r="AB100" s="807"/>
      <c r="AC100" s="807"/>
      <c r="AD100" s="807"/>
      <c r="AE100" s="807"/>
      <c r="AF100" s="46">
        <f t="shared" si="43"/>
        <v>0</v>
      </c>
      <c r="AG100" s="801">
        <f t="shared" si="43"/>
        <v>0</v>
      </c>
      <c r="AH100" s="801"/>
      <c r="AI100" s="269"/>
      <c r="AJ100" s="182"/>
      <c r="AK100"/>
      <c r="AL100" s="182"/>
      <c r="AO100" s="159"/>
    </row>
    <row r="101" spans="2:41" ht="25.5" customHeight="1" thickTop="1" thickBot="1" x14ac:dyDescent="0.3">
      <c r="B101" s="46">
        <f t="shared" si="40"/>
        <v>0</v>
      </c>
      <c r="C101" s="801">
        <f t="shared" si="40"/>
        <v>0</v>
      </c>
      <c r="D101" s="801"/>
      <c r="E101" s="269"/>
      <c r="F101" s="806"/>
      <c r="G101" s="806"/>
      <c r="H101" s="806"/>
      <c r="I101" s="806"/>
      <c r="J101" s="806"/>
      <c r="K101" s="806"/>
      <c r="L101" s="806"/>
      <c r="M101" s="806"/>
      <c r="N101" s="806"/>
      <c r="O101" s="806"/>
      <c r="P101" s="806"/>
      <c r="Q101" s="45">
        <f t="shared" si="41"/>
        <v>0</v>
      </c>
      <c r="R101" s="45">
        <f t="shared" si="41"/>
        <v>0</v>
      </c>
      <c r="S101" s="45">
        <f t="shared" si="41"/>
        <v>0</v>
      </c>
      <c r="T101" s="83">
        <f t="shared" si="37"/>
        <v>0</v>
      </c>
      <c r="U101" s="371">
        <f t="shared" si="42"/>
        <v>0</v>
      </c>
      <c r="V101" s="243">
        <f t="shared" si="38"/>
        <v>0</v>
      </c>
      <c r="W101" s="243">
        <f t="shared" si="38"/>
        <v>0</v>
      </c>
      <c r="X101" s="243">
        <f t="shared" si="38"/>
        <v>0</v>
      </c>
      <c r="Y101" s="244">
        <f t="shared" si="39"/>
        <v>0</v>
      </c>
      <c r="Z101" s="807"/>
      <c r="AA101" s="807"/>
      <c r="AB101" s="807"/>
      <c r="AC101" s="807"/>
      <c r="AD101" s="807"/>
      <c r="AE101" s="807"/>
      <c r="AF101" s="46">
        <f t="shared" si="43"/>
        <v>0</v>
      </c>
      <c r="AG101" s="801">
        <f t="shared" si="43"/>
        <v>0</v>
      </c>
      <c r="AH101" s="801"/>
      <c r="AI101" s="269"/>
      <c r="AJ101" s="182"/>
      <c r="AK101"/>
      <c r="AL101" s="182"/>
      <c r="AO101" s="159"/>
    </row>
    <row r="102" spans="2:41" ht="25.5" customHeight="1" thickTop="1" thickBot="1" x14ac:dyDescent="0.3">
      <c r="B102" s="46">
        <f t="shared" si="40"/>
        <v>0</v>
      </c>
      <c r="C102" s="801">
        <f t="shared" si="40"/>
        <v>0</v>
      </c>
      <c r="D102" s="801"/>
      <c r="E102" s="269"/>
      <c r="F102" s="806"/>
      <c r="G102" s="806"/>
      <c r="H102" s="806"/>
      <c r="I102" s="806"/>
      <c r="J102" s="806"/>
      <c r="K102" s="806"/>
      <c r="L102" s="806"/>
      <c r="M102" s="806"/>
      <c r="N102" s="806"/>
      <c r="O102" s="806"/>
      <c r="P102" s="806"/>
      <c r="Q102" s="45">
        <f t="shared" si="41"/>
        <v>0</v>
      </c>
      <c r="R102" s="45">
        <f t="shared" si="41"/>
        <v>0</v>
      </c>
      <c r="S102" s="45">
        <f t="shared" si="41"/>
        <v>0</v>
      </c>
      <c r="T102" s="83">
        <f t="shared" si="37"/>
        <v>0</v>
      </c>
      <c r="U102" s="371">
        <f t="shared" si="42"/>
        <v>0</v>
      </c>
      <c r="V102" s="243">
        <f t="shared" si="38"/>
        <v>0</v>
      </c>
      <c r="W102" s="243">
        <f t="shared" si="38"/>
        <v>0</v>
      </c>
      <c r="X102" s="243">
        <f t="shared" si="38"/>
        <v>0</v>
      </c>
      <c r="Y102" s="244">
        <f t="shared" si="39"/>
        <v>0</v>
      </c>
      <c r="Z102" s="807"/>
      <c r="AA102" s="807"/>
      <c r="AB102" s="807"/>
      <c r="AC102" s="807"/>
      <c r="AD102" s="807"/>
      <c r="AE102" s="807"/>
      <c r="AF102" s="46">
        <f t="shared" si="43"/>
        <v>0</v>
      </c>
      <c r="AG102" s="801">
        <f t="shared" si="43"/>
        <v>0</v>
      </c>
      <c r="AH102" s="801"/>
      <c r="AI102" s="269"/>
      <c r="AJ102" s="182"/>
      <c r="AK102"/>
      <c r="AL102" s="182"/>
      <c r="AO102" s="159"/>
    </row>
    <row r="103" spans="2:41" ht="25.5" customHeight="1" thickTop="1" thickBot="1" x14ac:dyDescent="0.3">
      <c r="B103" s="46">
        <f t="shared" si="40"/>
        <v>0</v>
      </c>
      <c r="C103" s="801">
        <f t="shared" si="40"/>
        <v>0</v>
      </c>
      <c r="D103" s="801"/>
      <c r="E103" s="269"/>
      <c r="F103" s="806"/>
      <c r="G103" s="806"/>
      <c r="H103" s="806"/>
      <c r="I103" s="806"/>
      <c r="J103" s="806"/>
      <c r="K103" s="806"/>
      <c r="L103" s="806"/>
      <c r="M103" s="806"/>
      <c r="N103" s="806"/>
      <c r="O103" s="806"/>
      <c r="P103" s="806"/>
      <c r="Q103" s="45">
        <f t="shared" si="41"/>
        <v>0</v>
      </c>
      <c r="R103" s="45">
        <f t="shared" si="41"/>
        <v>0</v>
      </c>
      <c r="S103" s="45">
        <f t="shared" si="41"/>
        <v>0</v>
      </c>
      <c r="T103" s="83">
        <f t="shared" si="37"/>
        <v>0</v>
      </c>
      <c r="U103" s="371">
        <f t="shared" si="42"/>
        <v>0</v>
      </c>
      <c r="V103" s="243">
        <f t="shared" si="38"/>
        <v>0</v>
      </c>
      <c r="W103" s="243">
        <f t="shared" si="38"/>
        <v>0</v>
      </c>
      <c r="X103" s="243">
        <f t="shared" si="38"/>
        <v>0</v>
      </c>
      <c r="Y103" s="244">
        <f t="shared" si="39"/>
        <v>0</v>
      </c>
      <c r="Z103" s="807"/>
      <c r="AA103" s="807"/>
      <c r="AB103" s="807"/>
      <c r="AC103" s="807"/>
      <c r="AD103" s="807"/>
      <c r="AE103" s="807"/>
      <c r="AF103" s="46">
        <f t="shared" si="43"/>
        <v>0</v>
      </c>
      <c r="AG103" s="801">
        <f t="shared" si="43"/>
        <v>0</v>
      </c>
      <c r="AH103" s="801"/>
      <c r="AI103" s="269"/>
      <c r="AJ103" s="182"/>
      <c r="AK103"/>
      <c r="AL103" s="182"/>
      <c r="AO103" s="159"/>
    </row>
    <row r="104" spans="2:41" ht="25.5" hidden="1" customHeight="1" outlineLevel="1" thickTop="1" thickBot="1" x14ac:dyDescent="0.3">
      <c r="B104" s="46">
        <f t="shared" si="40"/>
        <v>0</v>
      </c>
      <c r="C104" s="801">
        <f t="shared" si="40"/>
        <v>0</v>
      </c>
      <c r="D104" s="801"/>
      <c r="E104" s="269"/>
      <c r="F104" s="806"/>
      <c r="G104" s="806"/>
      <c r="H104" s="806"/>
      <c r="I104" s="806"/>
      <c r="J104" s="806"/>
      <c r="K104" s="806"/>
      <c r="L104" s="806"/>
      <c r="M104" s="806"/>
      <c r="N104" s="806"/>
      <c r="O104" s="806"/>
      <c r="P104" s="806"/>
      <c r="Q104" s="45">
        <f t="shared" si="41"/>
        <v>0</v>
      </c>
      <c r="R104" s="45">
        <f t="shared" si="41"/>
        <v>0</v>
      </c>
      <c r="S104" s="45">
        <f t="shared" si="41"/>
        <v>0</v>
      </c>
      <c r="T104" s="83">
        <f t="shared" si="37"/>
        <v>0</v>
      </c>
      <c r="U104" s="371">
        <f t="shared" si="42"/>
        <v>0</v>
      </c>
      <c r="V104" s="243">
        <f t="shared" si="38"/>
        <v>0</v>
      </c>
      <c r="W104" s="243">
        <f t="shared" si="38"/>
        <v>0</v>
      </c>
      <c r="X104" s="243">
        <f t="shared" si="38"/>
        <v>0</v>
      </c>
      <c r="Y104" s="244">
        <f t="shared" si="39"/>
        <v>0</v>
      </c>
      <c r="Z104" s="807"/>
      <c r="AA104" s="807"/>
      <c r="AB104" s="807"/>
      <c r="AC104" s="807"/>
      <c r="AD104" s="807"/>
      <c r="AE104" s="807"/>
      <c r="AF104" s="46">
        <f t="shared" si="43"/>
        <v>0</v>
      </c>
      <c r="AG104" s="801">
        <f t="shared" si="43"/>
        <v>0</v>
      </c>
      <c r="AH104" s="801"/>
      <c r="AI104" s="269"/>
      <c r="AJ104" s="182"/>
      <c r="AK104"/>
      <c r="AL104" s="182"/>
      <c r="AO104" s="159"/>
    </row>
    <row r="105" spans="2:41" ht="25.5" hidden="1" customHeight="1" outlineLevel="1" thickTop="1" thickBot="1" x14ac:dyDescent="0.3">
      <c r="B105" s="46">
        <f t="shared" si="40"/>
        <v>0</v>
      </c>
      <c r="C105" s="801">
        <f t="shared" si="40"/>
        <v>0</v>
      </c>
      <c r="D105" s="801"/>
      <c r="E105" s="269"/>
      <c r="F105" s="806"/>
      <c r="G105" s="806"/>
      <c r="H105" s="806"/>
      <c r="I105" s="806"/>
      <c r="J105" s="806"/>
      <c r="K105" s="806"/>
      <c r="L105" s="806"/>
      <c r="M105" s="806"/>
      <c r="N105" s="806"/>
      <c r="O105" s="806"/>
      <c r="P105" s="806"/>
      <c r="Q105" s="45">
        <f t="shared" si="41"/>
        <v>0</v>
      </c>
      <c r="R105" s="45">
        <f t="shared" si="41"/>
        <v>0</v>
      </c>
      <c r="S105" s="45">
        <f t="shared" si="41"/>
        <v>0</v>
      </c>
      <c r="T105" s="83">
        <f t="shared" si="37"/>
        <v>0</v>
      </c>
      <c r="U105" s="371">
        <f>T105+Y105</f>
        <v>0</v>
      </c>
      <c r="V105" s="243">
        <f t="shared" si="38"/>
        <v>0</v>
      </c>
      <c r="W105" s="243">
        <f t="shared" si="38"/>
        <v>0</v>
      </c>
      <c r="X105" s="243">
        <f t="shared" si="38"/>
        <v>0</v>
      </c>
      <c r="Y105" s="244">
        <f t="shared" si="39"/>
        <v>0</v>
      </c>
      <c r="Z105" s="807"/>
      <c r="AA105" s="807"/>
      <c r="AB105" s="807"/>
      <c r="AC105" s="807"/>
      <c r="AD105" s="807"/>
      <c r="AE105" s="807"/>
      <c r="AF105" s="46">
        <f t="shared" si="43"/>
        <v>0</v>
      </c>
      <c r="AG105" s="801">
        <f t="shared" si="43"/>
        <v>0</v>
      </c>
      <c r="AH105" s="801"/>
      <c r="AI105" s="269"/>
      <c r="AJ105" s="182"/>
      <c r="AK105"/>
      <c r="AL105" s="182"/>
      <c r="AO105" s="159"/>
    </row>
    <row r="106" spans="2:41" ht="25.5" hidden="1" customHeight="1" outlineLevel="1" thickTop="1" thickBot="1" x14ac:dyDescent="0.3">
      <c r="B106" s="46">
        <f t="shared" si="40"/>
        <v>0</v>
      </c>
      <c r="C106" s="801">
        <f t="shared" si="40"/>
        <v>0</v>
      </c>
      <c r="D106" s="801"/>
      <c r="E106" s="269"/>
      <c r="F106" s="806"/>
      <c r="G106" s="806"/>
      <c r="H106" s="806"/>
      <c r="I106" s="806"/>
      <c r="J106" s="806"/>
      <c r="K106" s="806"/>
      <c r="L106" s="806"/>
      <c r="M106" s="806"/>
      <c r="N106" s="806"/>
      <c r="O106" s="806"/>
      <c r="P106" s="806"/>
      <c r="Q106" s="45">
        <f t="shared" si="41"/>
        <v>0</v>
      </c>
      <c r="R106" s="45">
        <f t="shared" si="41"/>
        <v>0</v>
      </c>
      <c r="S106" s="45">
        <f t="shared" si="41"/>
        <v>0</v>
      </c>
      <c r="T106" s="83">
        <f t="shared" si="37"/>
        <v>0</v>
      </c>
      <c r="U106" s="371">
        <f>T106+Y106</f>
        <v>0</v>
      </c>
      <c r="V106" s="243">
        <f t="shared" si="38"/>
        <v>0</v>
      </c>
      <c r="W106" s="243">
        <f t="shared" si="38"/>
        <v>0</v>
      </c>
      <c r="X106" s="243">
        <f t="shared" si="38"/>
        <v>0</v>
      </c>
      <c r="Y106" s="244">
        <f t="shared" si="39"/>
        <v>0</v>
      </c>
      <c r="Z106" s="807"/>
      <c r="AA106" s="807"/>
      <c r="AB106" s="807"/>
      <c r="AC106" s="807"/>
      <c r="AD106" s="807"/>
      <c r="AE106" s="807"/>
      <c r="AF106" s="46">
        <f t="shared" si="43"/>
        <v>0</v>
      </c>
      <c r="AG106" s="801">
        <f t="shared" si="43"/>
        <v>0</v>
      </c>
      <c r="AH106" s="801"/>
      <c r="AI106" s="269"/>
      <c r="AJ106" s="182"/>
      <c r="AK106"/>
      <c r="AL106" s="182"/>
      <c r="AO106" s="159"/>
    </row>
    <row r="107" spans="2:41" ht="25.5" hidden="1" customHeight="1" outlineLevel="1" thickTop="1" thickBot="1" x14ac:dyDescent="0.3">
      <c r="B107" s="46">
        <f t="shared" si="40"/>
        <v>0</v>
      </c>
      <c r="C107" s="801">
        <f t="shared" si="40"/>
        <v>0</v>
      </c>
      <c r="D107" s="801"/>
      <c r="E107" s="269"/>
      <c r="F107" s="806"/>
      <c r="G107" s="806"/>
      <c r="H107" s="806"/>
      <c r="I107" s="806"/>
      <c r="J107" s="806"/>
      <c r="K107" s="806"/>
      <c r="L107" s="806"/>
      <c r="M107" s="806"/>
      <c r="N107" s="806"/>
      <c r="O107" s="806"/>
      <c r="P107" s="806"/>
      <c r="Q107" s="45">
        <f t="shared" si="41"/>
        <v>0</v>
      </c>
      <c r="R107" s="45">
        <f t="shared" si="41"/>
        <v>0</v>
      </c>
      <c r="S107" s="45">
        <f t="shared" si="41"/>
        <v>0</v>
      </c>
      <c r="T107" s="83">
        <f t="shared" si="37"/>
        <v>0</v>
      </c>
      <c r="U107" s="371">
        <f t="shared" ref="U107:U108" si="44">T107+Y107</f>
        <v>0</v>
      </c>
      <c r="V107" s="243">
        <f t="shared" si="38"/>
        <v>0</v>
      </c>
      <c r="W107" s="243">
        <f t="shared" si="38"/>
        <v>0</v>
      </c>
      <c r="X107" s="243">
        <f t="shared" si="38"/>
        <v>0</v>
      </c>
      <c r="Y107" s="244">
        <f t="shared" si="39"/>
        <v>0</v>
      </c>
      <c r="Z107" s="807"/>
      <c r="AA107" s="807"/>
      <c r="AB107" s="807"/>
      <c r="AC107" s="807"/>
      <c r="AD107" s="807"/>
      <c r="AE107" s="807"/>
      <c r="AF107" s="46">
        <f t="shared" si="43"/>
        <v>0</v>
      </c>
      <c r="AG107" s="801">
        <f t="shared" si="43"/>
        <v>0</v>
      </c>
      <c r="AH107" s="801"/>
      <c r="AI107" s="269"/>
      <c r="AJ107" s="182"/>
      <c r="AK107"/>
      <c r="AL107" s="182"/>
      <c r="AO107" s="159"/>
    </row>
    <row r="108" spans="2:41" ht="25.5" hidden="1" customHeight="1" outlineLevel="1" thickTop="1" thickBot="1" x14ac:dyDescent="0.3">
      <c r="B108" s="46">
        <f t="shared" si="40"/>
        <v>0</v>
      </c>
      <c r="C108" s="801">
        <f t="shared" si="40"/>
        <v>0</v>
      </c>
      <c r="D108" s="801"/>
      <c r="E108" s="269"/>
      <c r="F108" s="806"/>
      <c r="G108" s="806"/>
      <c r="H108" s="806"/>
      <c r="I108" s="806"/>
      <c r="J108" s="806"/>
      <c r="K108" s="806"/>
      <c r="L108" s="806"/>
      <c r="M108" s="806"/>
      <c r="N108" s="806"/>
      <c r="O108" s="806"/>
      <c r="P108" s="806"/>
      <c r="Q108" s="45">
        <f t="shared" si="41"/>
        <v>0</v>
      </c>
      <c r="R108" s="45">
        <f t="shared" si="41"/>
        <v>0</v>
      </c>
      <c r="S108" s="45">
        <f t="shared" si="41"/>
        <v>0</v>
      </c>
      <c r="T108" s="83">
        <f t="shared" si="37"/>
        <v>0</v>
      </c>
      <c r="U108" s="371">
        <f t="shared" si="44"/>
        <v>0</v>
      </c>
      <c r="V108" s="243">
        <f t="shared" si="38"/>
        <v>0</v>
      </c>
      <c r="W108" s="243">
        <f t="shared" si="38"/>
        <v>0</v>
      </c>
      <c r="X108" s="243">
        <f t="shared" si="38"/>
        <v>0</v>
      </c>
      <c r="Y108" s="244">
        <f t="shared" si="39"/>
        <v>0</v>
      </c>
      <c r="Z108" s="807"/>
      <c r="AA108" s="807"/>
      <c r="AB108" s="807"/>
      <c r="AC108" s="807"/>
      <c r="AD108" s="807"/>
      <c r="AE108" s="807"/>
      <c r="AF108" s="46">
        <f t="shared" si="43"/>
        <v>0</v>
      </c>
      <c r="AG108" s="801">
        <f t="shared" si="43"/>
        <v>0</v>
      </c>
      <c r="AH108" s="801"/>
      <c r="AI108" s="269"/>
      <c r="AJ108" s="182"/>
      <c r="AK108"/>
      <c r="AL108" s="182"/>
      <c r="AO108" s="159"/>
    </row>
    <row r="109" spans="2:41" ht="25.5" hidden="1" customHeight="1" outlineLevel="1" thickTop="1" thickBot="1" x14ac:dyDescent="0.3">
      <c r="B109" s="46">
        <f>B49</f>
        <v>0</v>
      </c>
      <c r="C109" s="801">
        <f t="shared" si="40"/>
        <v>0</v>
      </c>
      <c r="D109" s="801"/>
      <c r="E109" s="269"/>
      <c r="F109" s="806"/>
      <c r="G109" s="806"/>
      <c r="H109" s="806"/>
      <c r="I109" s="806"/>
      <c r="J109" s="806"/>
      <c r="K109" s="806"/>
      <c r="L109" s="806"/>
      <c r="M109" s="806"/>
      <c r="N109" s="806"/>
      <c r="O109" s="806"/>
      <c r="P109" s="806"/>
      <c r="Q109" s="45">
        <f t="shared" si="41"/>
        <v>0</v>
      </c>
      <c r="R109" s="45">
        <f t="shared" si="41"/>
        <v>0</v>
      </c>
      <c r="S109" s="45">
        <f t="shared" si="41"/>
        <v>0</v>
      </c>
      <c r="T109" s="83">
        <f t="shared" si="37"/>
        <v>0</v>
      </c>
      <c r="U109" s="371">
        <f t="shared" ref="U109:U114" si="45">T109+Y109</f>
        <v>0</v>
      </c>
      <c r="V109" s="243">
        <f t="shared" si="38"/>
        <v>0</v>
      </c>
      <c r="W109" s="243">
        <f t="shared" si="38"/>
        <v>0</v>
      </c>
      <c r="X109" s="243">
        <f t="shared" si="38"/>
        <v>0</v>
      </c>
      <c r="Y109" s="244">
        <f t="shared" si="39"/>
        <v>0</v>
      </c>
      <c r="Z109" s="807"/>
      <c r="AA109" s="807"/>
      <c r="AB109" s="807"/>
      <c r="AC109" s="807"/>
      <c r="AD109" s="807"/>
      <c r="AE109" s="807"/>
      <c r="AF109" s="46">
        <f t="shared" si="43"/>
        <v>0</v>
      </c>
      <c r="AG109" s="801">
        <f t="shared" si="43"/>
        <v>0</v>
      </c>
      <c r="AH109" s="801"/>
      <c r="AI109" s="269"/>
      <c r="AJ109" s="182"/>
      <c r="AK109"/>
      <c r="AL109" s="182"/>
      <c r="AO109" s="159"/>
    </row>
    <row r="110" spans="2:41" ht="25.5" hidden="1" customHeight="1" outlineLevel="1" thickTop="1" thickBot="1" x14ac:dyDescent="0.3">
      <c r="B110" s="46">
        <f>B50</f>
        <v>0</v>
      </c>
      <c r="C110" s="801">
        <f t="shared" si="40"/>
        <v>0</v>
      </c>
      <c r="D110" s="801"/>
      <c r="E110" s="269"/>
      <c r="F110" s="806"/>
      <c r="G110" s="806"/>
      <c r="H110" s="806"/>
      <c r="I110" s="806"/>
      <c r="J110" s="806"/>
      <c r="K110" s="806"/>
      <c r="L110" s="806"/>
      <c r="M110" s="806"/>
      <c r="N110" s="806"/>
      <c r="O110" s="806"/>
      <c r="P110" s="806"/>
      <c r="Q110" s="45">
        <f t="shared" si="41"/>
        <v>0</v>
      </c>
      <c r="R110" s="45">
        <f t="shared" si="41"/>
        <v>0</v>
      </c>
      <c r="S110" s="45">
        <f t="shared" si="41"/>
        <v>0</v>
      </c>
      <c r="T110" s="83">
        <f t="shared" si="37"/>
        <v>0</v>
      </c>
      <c r="U110" s="371">
        <f t="shared" si="45"/>
        <v>0</v>
      </c>
      <c r="V110" s="243">
        <f t="shared" si="38"/>
        <v>0</v>
      </c>
      <c r="W110" s="243">
        <f t="shared" si="38"/>
        <v>0</v>
      </c>
      <c r="X110" s="243">
        <f t="shared" si="38"/>
        <v>0</v>
      </c>
      <c r="Y110" s="244">
        <f t="shared" si="39"/>
        <v>0</v>
      </c>
      <c r="Z110" s="807"/>
      <c r="AA110" s="807"/>
      <c r="AB110" s="807"/>
      <c r="AC110" s="807"/>
      <c r="AD110" s="807"/>
      <c r="AE110" s="807"/>
      <c r="AF110" s="46">
        <f t="shared" si="43"/>
        <v>0</v>
      </c>
      <c r="AG110" s="801">
        <f t="shared" si="43"/>
        <v>0</v>
      </c>
      <c r="AH110" s="801"/>
      <c r="AI110" s="269"/>
      <c r="AJ110" s="182"/>
      <c r="AK110"/>
      <c r="AL110" s="182"/>
      <c r="AO110" s="159"/>
    </row>
    <row r="111" spans="2:41" ht="25.5" hidden="1" customHeight="1" outlineLevel="1" thickTop="1" thickBot="1" x14ac:dyDescent="0.3">
      <c r="B111" s="46">
        <f>B51</f>
        <v>0</v>
      </c>
      <c r="C111" s="801">
        <f t="shared" ref="C111:C112" si="46">C51</f>
        <v>0</v>
      </c>
      <c r="D111" s="801"/>
      <c r="E111" s="269"/>
      <c r="F111" s="806"/>
      <c r="G111" s="806"/>
      <c r="H111" s="806"/>
      <c r="I111" s="806"/>
      <c r="J111" s="806"/>
      <c r="K111" s="806"/>
      <c r="L111" s="806"/>
      <c r="M111" s="806"/>
      <c r="N111" s="806"/>
      <c r="O111" s="806"/>
      <c r="P111" s="806"/>
      <c r="Q111" s="45">
        <f t="shared" ref="Q111:S113" si="47">ROUND($E111*Q51,0)</f>
        <v>0</v>
      </c>
      <c r="R111" s="45">
        <f t="shared" si="47"/>
        <v>0</v>
      </c>
      <c r="S111" s="45">
        <f t="shared" si="47"/>
        <v>0</v>
      </c>
      <c r="T111" s="83">
        <f t="shared" si="37"/>
        <v>0</v>
      </c>
      <c r="U111" s="371">
        <f t="shared" si="45"/>
        <v>0</v>
      </c>
      <c r="V111" s="243">
        <f t="shared" si="38"/>
        <v>0</v>
      </c>
      <c r="W111" s="243">
        <f t="shared" si="38"/>
        <v>0</v>
      </c>
      <c r="X111" s="243">
        <f t="shared" si="38"/>
        <v>0</v>
      </c>
      <c r="Y111" s="244">
        <f t="shared" si="39"/>
        <v>0</v>
      </c>
      <c r="Z111" s="807"/>
      <c r="AA111" s="807"/>
      <c r="AB111" s="807"/>
      <c r="AC111" s="807"/>
      <c r="AD111" s="807"/>
      <c r="AE111" s="807"/>
      <c r="AF111" s="46">
        <f t="shared" ref="AF111:AG113" si="48">AF51</f>
        <v>0</v>
      </c>
      <c r="AG111" s="801">
        <f t="shared" si="48"/>
        <v>0</v>
      </c>
      <c r="AH111" s="801"/>
      <c r="AI111" s="269"/>
      <c r="AJ111" s="182"/>
      <c r="AK111"/>
      <c r="AL111" s="182"/>
      <c r="AO111" s="159"/>
    </row>
    <row r="112" spans="2:41" ht="25.5" hidden="1" customHeight="1" outlineLevel="1" thickTop="1" thickBot="1" x14ac:dyDescent="0.3">
      <c r="B112" s="46">
        <f>B52</f>
        <v>0</v>
      </c>
      <c r="C112" s="801">
        <f t="shared" si="46"/>
        <v>0</v>
      </c>
      <c r="D112" s="801"/>
      <c r="E112" s="269"/>
      <c r="F112" s="806"/>
      <c r="G112" s="806"/>
      <c r="H112" s="806"/>
      <c r="I112" s="806"/>
      <c r="J112" s="806"/>
      <c r="K112" s="806"/>
      <c r="L112" s="806"/>
      <c r="M112" s="806"/>
      <c r="N112" s="806"/>
      <c r="O112" s="806"/>
      <c r="P112" s="806"/>
      <c r="Q112" s="45">
        <f t="shared" si="47"/>
        <v>0</v>
      </c>
      <c r="R112" s="45">
        <f t="shared" si="47"/>
        <v>0</v>
      </c>
      <c r="S112" s="45">
        <f t="shared" si="47"/>
        <v>0</v>
      </c>
      <c r="T112" s="83">
        <f t="shared" si="37"/>
        <v>0</v>
      </c>
      <c r="U112" s="371">
        <f t="shared" si="45"/>
        <v>0</v>
      </c>
      <c r="V112" s="243">
        <f t="shared" si="38"/>
        <v>0</v>
      </c>
      <c r="W112" s="243">
        <f t="shared" si="38"/>
        <v>0</v>
      </c>
      <c r="X112" s="243">
        <f t="shared" si="38"/>
        <v>0</v>
      </c>
      <c r="Y112" s="244">
        <f t="shared" si="39"/>
        <v>0</v>
      </c>
      <c r="Z112" s="807"/>
      <c r="AA112" s="807"/>
      <c r="AB112" s="807"/>
      <c r="AC112" s="807"/>
      <c r="AD112" s="807"/>
      <c r="AE112" s="807"/>
      <c r="AF112" s="46">
        <f t="shared" si="48"/>
        <v>0</v>
      </c>
      <c r="AG112" s="801">
        <f t="shared" si="48"/>
        <v>0</v>
      </c>
      <c r="AH112" s="801"/>
      <c r="AI112" s="269"/>
      <c r="AJ112" s="182"/>
      <c r="AK112"/>
      <c r="AL112" s="182"/>
      <c r="AO112" s="159"/>
    </row>
    <row r="113" spans="1:44" ht="25.5" hidden="1" customHeight="1" outlineLevel="1" thickTop="1" thickBot="1" x14ac:dyDescent="0.3">
      <c r="B113" s="46">
        <f>B53</f>
        <v>0</v>
      </c>
      <c r="C113" s="801">
        <f>C53</f>
        <v>0</v>
      </c>
      <c r="D113" s="801"/>
      <c r="E113" s="269"/>
      <c r="F113" s="806"/>
      <c r="G113" s="806"/>
      <c r="H113" s="806"/>
      <c r="I113" s="806"/>
      <c r="J113" s="806"/>
      <c r="K113" s="806"/>
      <c r="L113" s="806"/>
      <c r="M113" s="806"/>
      <c r="N113" s="806"/>
      <c r="O113" s="806"/>
      <c r="P113" s="806"/>
      <c r="Q113" s="45">
        <f t="shared" si="47"/>
        <v>0</v>
      </c>
      <c r="R113" s="45">
        <f t="shared" si="47"/>
        <v>0</v>
      </c>
      <c r="S113" s="45">
        <f t="shared" si="47"/>
        <v>0</v>
      </c>
      <c r="T113" s="83">
        <f t="shared" si="37"/>
        <v>0</v>
      </c>
      <c r="U113" s="371">
        <f t="shared" si="45"/>
        <v>0</v>
      </c>
      <c r="V113" s="243">
        <f t="shared" si="38"/>
        <v>0</v>
      </c>
      <c r="W113" s="243">
        <f t="shared" si="38"/>
        <v>0</v>
      </c>
      <c r="X113" s="243">
        <f t="shared" si="38"/>
        <v>0</v>
      </c>
      <c r="Y113" s="244">
        <f t="shared" si="39"/>
        <v>0</v>
      </c>
      <c r="Z113" s="807"/>
      <c r="AA113" s="807"/>
      <c r="AB113" s="807"/>
      <c r="AC113" s="807"/>
      <c r="AD113" s="807"/>
      <c r="AE113" s="807"/>
      <c r="AF113" s="46">
        <f t="shared" si="48"/>
        <v>0</v>
      </c>
      <c r="AG113" s="801">
        <f t="shared" si="48"/>
        <v>0</v>
      </c>
      <c r="AH113" s="801"/>
      <c r="AI113" s="269"/>
      <c r="AJ113" s="182"/>
      <c r="AK113"/>
      <c r="AL113" s="182"/>
      <c r="AO113" s="159"/>
    </row>
    <row r="114" spans="1:44" ht="32.25" customHeight="1" collapsed="1" thickTop="1" x14ac:dyDescent="0.25">
      <c r="B114" s="827" t="s">
        <v>184</v>
      </c>
      <c r="C114" s="827"/>
      <c r="D114" s="827"/>
      <c r="E114" s="827"/>
      <c r="F114" s="827"/>
      <c r="G114" s="827"/>
      <c r="H114" s="827"/>
      <c r="I114" s="827"/>
      <c r="J114" s="827"/>
      <c r="K114" s="827"/>
      <c r="L114" s="827"/>
      <c r="M114" s="827"/>
      <c r="N114" s="827"/>
      <c r="O114" s="389"/>
      <c r="P114" s="389"/>
      <c r="Q114" s="521">
        <f t="shared" ref="Q114:T114" si="49">SUM(Q94:Q113)</f>
        <v>0</v>
      </c>
      <c r="R114" s="521">
        <f t="shared" si="49"/>
        <v>0</v>
      </c>
      <c r="S114" s="521">
        <f t="shared" si="49"/>
        <v>0</v>
      </c>
      <c r="T114" s="521">
        <f t="shared" si="49"/>
        <v>0</v>
      </c>
      <c r="U114" s="371">
        <f t="shared" si="45"/>
        <v>0</v>
      </c>
      <c r="V114" s="578">
        <f t="shared" ref="V114:X114" si="50">SUM(V94:V113)</f>
        <v>0</v>
      </c>
      <c r="W114" s="578">
        <f t="shared" si="50"/>
        <v>0</v>
      </c>
      <c r="X114" s="578">
        <f t="shared" si="50"/>
        <v>0</v>
      </c>
      <c r="Y114" s="578">
        <f>SUM(Y94:Y113)</f>
        <v>0</v>
      </c>
      <c r="Z114" s="409"/>
      <c r="AA114" s="789" t="s">
        <v>184</v>
      </c>
      <c r="AB114" s="789"/>
      <c r="AC114" s="789"/>
      <c r="AD114" s="789"/>
      <c r="AE114" s="789"/>
      <c r="AF114" s="789"/>
      <c r="AG114" s="789"/>
      <c r="AH114" s="789"/>
      <c r="AI114" s="789"/>
      <c r="AJ114" s="789"/>
      <c r="AK114" s="789"/>
      <c r="AL114" s="789"/>
      <c r="AM114" s="789"/>
      <c r="AN114" s="789"/>
      <c r="AO114" s="790"/>
      <c r="AP114" s="40"/>
    </row>
    <row r="115" spans="1:44" ht="46.5" customHeight="1" thickBot="1" x14ac:dyDescent="0.35">
      <c r="B115" s="793" t="s">
        <v>185</v>
      </c>
      <c r="C115" s="793"/>
      <c r="D115" s="793"/>
      <c r="E115" s="793"/>
      <c r="F115" s="793"/>
      <c r="G115" s="793"/>
      <c r="H115" s="793"/>
      <c r="I115" s="793"/>
      <c r="J115" s="793"/>
      <c r="K115" s="793"/>
      <c r="L115" s="793"/>
      <c r="M115" s="793"/>
      <c r="N115" s="793"/>
      <c r="O115" s="793"/>
      <c r="P115" s="793"/>
      <c r="Q115" s="793"/>
      <c r="R115" s="793"/>
      <c r="S115" s="793"/>
      <c r="T115" s="793"/>
      <c r="U115" s="239"/>
      <c r="V115" s="696" t="s">
        <v>186</v>
      </c>
      <c r="W115" s="696"/>
      <c r="X115" s="696"/>
      <c r="Y115" s="696"/>
      <c r="Z115" s="696"/>
      <c r="AA115" s="696"/>
      <c r="AB115" s="696"/>
      <c r="AC115" s="696"/>
      <c r="AD115" s="696"/>
      <c r="AE115" s="696"/>
      <c r="AF115" s="696"/>
      <c r="AG115" s="696"/>
      <c r="AH115" s="696"/>
      <c r="AI115" s="696"/>
      <c r="AJ115" s="696"/>
      <c r="AK115" s="696"/>
      <c r="AL115" s="696"/>
      <c r="AM115" s="696"/>
      <c r="AN115" s="696"/>
      <c r="AO115" s="696"/>
    </row>
    <row r="116" spans="1:44" ht="39" customHeight="1" thickTop="1" thickBot="1" x14ac:dyDescent="0.3">
      <c r="B116" s="307" t="s">
        <v>137</v>
      </c>
      <c r="C116" s="308" t="s">
        <v>138</v>
      </c>
      <c r="D116" s="308" t="s">
        <v>76</v>
      </c>
      <c r="E116" s="308" t="s">
        <v>179</v>
      </c>
      <c r="F116" s="798" t="s">
        <v>187</v>
      </c>
      <c r="G116" s="798"/>
      <c r="H116" s="798"/>
      <c r="I116" s="798"/>
      <c r="J116" s="798"/>
      <c r="K116" s="798"/>
      <c r="L116" s="798"/>
      <c r="M116" s="798"/>
      <c r="N116" s="798"/>
      <c r="O116" s="798"/>
      <c r="P116" s="798"/>
      <c r="Q116" s="67" t="s">
        <v>188</v>
      </c>
      <c r="R116" s="67" t="s">
        <v>189</v>
      </c>
      <c r="S116" s="67" t="s">
        <v>190</v>
      </c>
      <c r="T116" s="410" t="s">
        <v>110</v>
      </c>
      <c r="U116" s="371"/>
      <c r="V116" s="67" t="s">
        <v>188</v>
      </c>
      <c r="W116" s="67" t="s">
        <v>189</v>
      </c>
      <c r="X116" s="67" t="s">
        <v>190</v>
      </c>
      <c r="Y116" s="411" t="s">
        <v>126</v>
      </c>
      <c r="Z116" s="412"/>
      <c r="AF116" s="307" t="s">
        <v>137</v>
      </c>
      <c r="AG116" s="308" t="s">
        <v>138</v>
      </c>
      <c r="AH116" s="308" t="s">
        <v>76</v>
      </c>
      <c r="AI116" s="308" t="s">
        <v>179</v>
      </c>
      <c r="AK116"/>
      <c r="AO116" s="204"/>
      <c r="AP116" s="79"/>
      <c r="AQ116" s="79"/>
      <c r="AR116" s="79"/>
    </row>
    <row r="117" spans="1:44" ht="25.5" customHeight="1" thickBot="1" x14ac:dyDescent="0.3">
      <c r="A117" s="176"/>
      <c r="B117" s="172">
        <f>B57</f>
        <v>0</v>
      </c>
      <c r="C117" s="167" t="str">
        <f t="shared" ref="C117:D118" si="51">C57</f>
        <v>GRA # 1</v>
      </c>
      <c r="D117" s="31" t="str">
        <f t="shared" si="51"/>
        <v>Full year</v>
      </c>
      <c r="E117" s="272">
        <v>4.1000000000000003E-3</v>
      </c>
      <c r="F117" s="776"/>
      <c r="G117" s="776"/>
      <c r="H117" s="776"/>
      <c r="I117" s="776"/>
      <c r="J117" s="776"/>
      <c r="K117" s="776"/>
      <c r="L117" s="776"/>
      <c r="M117" s="776"/>
      <c r="N117" s="776"/>
      <c r="O117" s="776"/>
      <c r="P117" s="776"/>
      <c r="Q117" s="39">
        <f>ROUND($E$117*Q57,0)</f>
        <v>0</v>
      </c>
      <c r="R117" s="39">
        <f>ROUND($E$117*R57,0)</f>
        <v>0</v>
      </c>
      <c r="S117" s="39">
        <f>ROUND($E$117*S57,0)</f>
        <v>0</v>
      </c>
      <c r="T117" s="81">
        <f t="shared" ref="T117:T136" si="52">SUM(Q117:S117)</f>
        <v>0</v>
      </c>
      <c r="U117" s="371">
        <f t="shared" ref="U117:U137" si="53">T117+Y117</f>
        <v>0</v>
      </c>
      <c r="V117" s="246">
        <f>ROUND($E$117*V57,0)</f>
        <v>0</v>
      </c>
      <c r="W117" s="246">
        <f>ROUND($E$117*W57,0)</f>
        <v>0</v>
      </c>
      <c r="X117" s="246">
        <f>ROUND($E$117*X57,0)</f>
        <v>0</v>
      </c>
      <c r="Y117" s="247">
        <f t="shared" ref="Y117:Y136" si="54">SUM(V117:X117)</f>
        <v>0</v>
      </c>
      <c r="AF117" s="172">
        <f t="shared" ref="AF117:AH118" si="55">AF57</f>
        <v>0</v>
      </c>
      <c r="AG117" s="167" t="str">
        <f t="shared" si="55"/>
        <v>GRA # 0</v>
      </c>
      <c r="AH117" s="31" t="str">
        <f t="shared" si="55"/>
        <v>Fall</v>
      </c>
      <c r="AI117" s="272">
        <v>4.1000000000000003E-3</v>
      </c>
      <c r="AK117"/>
      <c r="AO117" s="159"/>
      <c r="AP117" s="79"/>
      <c r="AQ117" s="79"/>
      <c r="AR117" s="79"/>
    </row>
    <row r="118" spans="1:44" ht="25.5" customHeight="1" thickTop="1" thickBot="1" x14ac:dyDescent="0.3">
      <c r="A118" s="176"/>
      <c r="B118" s="172">
        <f>B58</f>
        <v>0</v>
      </c>
      <c r="C118" s="168">
        <f t="shared" si="51"/>
        <v>0</v>
      </c>
      <c r="D118" s="31" t="str">
        <f t="shared" si="51"/>
        <v>Summer</v>
      </c>
      <c r="E118" s="269">
        <v>8.0600000000000005E-2</v>
      </c>
      <c r="F118" s="776"/>
      <c r="G118" s="776"/>
      <c r="H118" s="776"/>
      <c r="I118" s="776"/>
      <c r="J118" s="776"/>
      <c r="K118" s="776"/>
      <c r="L118" s="776"/>
      <c r="M118" s="776"/>
      <c r="N118" s="776"/>
      <c r="O118" s="776"/>
      <c r="P118" s="776"/>
      <c r="Q118" s="39">
        <f>ROUND($E$118*Q58,0)</f>
        <v>0</v>
      </c>
      <c r="R118" s="39">
        <f>ROUND($E$118*R58,0)</f>
        <v>0</v>
      </c>
      <c r="S118" s="39">
        <f>ROUND($E$118*S58,0)</f>
        <v>0</v>
      </c>
      <c r="T118" s="81">
        <f t="shared" si="52"/>
        <v>0</v>
      </c>
      <c r="U118" s="371">
        <f t="shared" si="53"/>
        <v>0</v>
      </c>
      <c r="V118" s="246">
        <f>ROUND($E$118*V58,0)</f>
        <v>0</v>
      </c>
      <c r="W118" s="246">
        <f>ROUND($E$118*W58,0)</f>
        <v>0</v>
      </c>
      <c r="X118" s="246">
        <f>ROUND($E$118*X58,0)</f>
        <v>0</v>
      </c>
      <c r="Y118" s="247">
        <f t="shared" si="54"/>
        <v>0</v>
      </c>
      <c r="AF118" s="172">
        <f t="shared" si="55"/>
        <v>0</v>
      </c>
      <c r="AG118" s="168">
        <f t="shared" si="55"/>
        <v>0</v>
      </c>
      <c r="AH118" s="31" t="str">
        <f t="shared" si="55"/>
        <v>Summer</v>
      </c>
      <c r="AI118" s="269">
        <v>8.0600000000000005E-2</v>
      </c>
      <c r="AK118"/>
      <c r="AO118" s="159"/>
      <c r="AP118" s="79"/>
      <c r="AQ118" s="79"/>
      <c r="AR118" s="79"/>
    </row>
    <row r="119" spans="1:44" ht="25.5" customHeight="1" thickTop="1" x14ac:dyDescent="0.25">
      <c r="B119" s="50"/>
      <c r="C119" s="170"/>
      <c r="D119" s="799" t="s">
        <v>191</v>
      </c>
      <c r="E119" s="799"/>
      <c r="F119" s="776"/>
      <c r="G119" s="776"/>
      <c r="H119" s="776"/>
      <c r="I119" s="776"/>
      <c r="J119" s="776"/>
      <c r="K119" s="776"/>
      <c r="L119" s="776"/>
      <c r="M119" s="776"/>
      <c r="N119" s="776"/>
      <c r="O119" s="776"/>
      <c r="P119" s="776"/>
      <c r="Q119" s="49" cm="1">
        <f t="array" ref="Q119">_xlfn.IFNA(_xlfn.IFS(AND(G57=20,K57=8.77,$D$57="Full year"),Rates!$C$21*$B$57,
AND(G57=20,K57=4.39,$D$57="Fall"),Rates!$C$22*$B$57,
AND(G57=20,K57=4.39,$D$57="Spring"),Rates!$C$23*$B$57)*1.05^G$2,0)</f>
        <v>0</v>
      </c>
      <c r="R119" s="49" cm="1">
        <f t="array" ref="R119">_xlfn.IFNA(_xlfn.IFS(AND(H57=20,L57=8.77,$D$57="Full year"),Rates!$C$21*$B$57,
AND(H57=20,L57=4.39,$D$57="Fall"),Rates!$C$22*$B$57,
AND(H57=20,L57=4.39,$D$57="Spring"),Rates!$C$23*$B$57)*1.05^H$2,0)</f>
        <v>0</v>
      </c>
      <c r="S119" s="49" cm="1">
        <f t="array" ref="S119">_xlfn.IFNA(_xlfn.IFS(AND(I57=20,M57=8.77,$D$57="Full year"),Rates!$C$21*$B$57,
AND(I57=20,M57=4.39,$D$57="Fall"),Rates!$C$22*$B$57,
AND(I57=20,M57=4.39,$D$57="Spring"),Rates!$C$23*$B$57)*1.05^I$2,0)</f>
        <v>0</v>
      </c>
      <c r="T119" s="84">
        <f t="shared" si="52"/>
        <v>0</v>
      </c>
      <c r="U119" s="371">
        <f t="shared" si="53"/>
        <v>0</v>
      </c>
      <c r="V119" s="248" cm="1">
        <f t="array" ref="V119">_xlfn.IFNA(_xlfn.IFS(AND(AA57=20,AL57=8.77,$AH$57="Full year"),Rates!$C$21*$AF$57,
AND(AA57=20,AL57=4.39,$AH$57="Fall"),Rates!$C$22*$AF$117,
AND(AA57=20,AL57=4.39,$AH$57="Spring"),Rates!$C$23*$AF$117)*1.05^G$2,0)</f>
        <v>0</v>
      </c>
      <c r="W119" s="248" cm="1">
        <f t="array" ref="W119">_xlfn.IFNA(_xlfn.IFS(AND(AB57=20,AM57=8.77,$AH$57="Full year"),Rates!$C$21*$AF$57,
AND(AB57=20,AM57=4.39,$AH$57="Fall"),Rates!$C$22*$AF$117,
AND(AB57=20,AM57=4.39,$AH$57="Spring"),Rates!$C$23*$AF$117)*1.05^H$2,0)</f>
        <v>0</v>
      </c>
      <c r="X119" s="248" cm="1">
        <f t="array" ref="X119">_xlfn.IFNA(_xlfn.IFS(AND(AC57=20,AN57=8.77,$AH$57="Full year"),Rates!$C$21*$AF$57,
AND(AC57=20,AN57=4.39,$AH$57="Fall"),Rates!$C$22*$AF$117,
AND(AC57=20,AN57=4.39,$AH$57="Spring"),Rates!$C$23*$AF$117)*1.05^I$2,0)</f>
        <v>0</v>
      </c>
      <c r="Y119" s="249">
        <f t="shared" si="54"/>
        <v>0</v>
      </c>
      <c r="AF119" s="50"/>
      <c r="AG119" s="170"/>
      <c r="AH119" s="799" t="s">
        <v>191</v>
      </c>
      <c r="AI119" s="799"/>
      <c r="AK119"/>
      <c r="AO119" s="159"/>
      <c r="AP119" s="79"/>
      <c r="AQ119" s="79"/>
      <c r="AR119" s="79"/>
    </row>
    <row r="120" spans="1:44" ht="25.5" customHeight="1" thickBot="1" x14ac:dyDescent="0.3">
      <c r="B120" s="47"/>
      <c r="C120" s="48"/>
      <c r="D120" s="800" t="s">
        <v>192</v>
      </c>
      <c r="E120" s="800"/>
      <c r="F120" s="776"/>
      <c r="G120" s="776"/>
      <c r="H120" s="776"/>
      <c r="I120" s="776"/>
      <c r="J120" s="776"/>
      <c r="K120" s="776"/>
      <c r="L120" s="776"/>
      <c r="M120" s="776"/>
      <c r="N120" s="776"/>
      <c r="O120" s="776"/>
      <c r="P120" s="776"/>
      <c r="Q120" s="270"/>
      <c r="R120" s="270"/>
      <c r="S120" s="270"/>
      <c r="T120" s="179">
        <f t="shared" si="52"/>
        <v>0</v>
      </c>
      <c r="U120" s="371">
        <f t="shared" si="53"/>
        <v>0</v>
      </c>
      <c r="V120" s="270"/>
      <c r="W120" s="270"/>
      <c r="X120" s="270"/>
      <c r="Y120" s="315">
        <f t="shared" si="54"/>
        <v>0</v>
      </c>
      <c r="AF120" s="47"/>
      <c r="AG120" s="48"/>
      <c r="AH120" s="800" t="s">
        <v>192</v>
      </c>
      <c r="AI120" s="800"/>
      <c r="AK120"/>
      <c r="AO120" s="159"/>
      <c r="AP120" s="79"/>
      <c r="AQ120" s="79"/>
      <c r="AR120" s="79"/>
    </row>
    <row r="121" spans="1:44" ht="25.5" hidden="1" customHeight="1" outlineLevel="1" thickBot="1" x14ac:dyDescent="0.3">
      <c r="A121" s="176"/>
      <c r="B121" s="173">
        <f t="shared" ref="B121:D122" si="56">B59</f>
        <v>0</v>
      </c>
      <c r="C121" s="169" t="str">
        <f t="shared" si="56"/>
        <v>GRA #2</v>
      </c>
      <c r="D121" s="31" t="str">
        <f t="shared" si="56"/>
        <v>Fall</v>
      </c>
      <c r="E121" s="269">
        <v>4.1000000000000003E-3</v>
      </c>
      <c r="F121" s="776"/>
      <c r="G121" s="776"/>
      <c r="H121" s="776"/>
      <c r="I121" s="776"/>
      <c r="J121" s="776"/>
      <c r="K121" s="776"/>
      <c r="L121" s="776"/>
      <c r="M121" s="776"/>
      <c r="N121" s="776"/>
      <c r="O121" s="776"/>
      <c r="P121" s="776"/>
      <c r="Q121" s="177">
        <f>ROUND($E$121*Q59,0)</f>
        <v>0</v>
      </c>
      <c r="R121" s="177">
        <f>ROUND($E$121*R59,0)</f>
        <v>0</v>
      </c>
      <c r="S121" s="177">
        <f>ROUND($E$121*S59,0)</f>
        <v>0</v>
      </c>
      <c r="T121" s="178">
        <f t="shared" si="52"/>
        <v>0</v>
      </c>
      <c r="U121" s="371">
        <f t="shared" si="53"/>
        <v>0</v>
      </c>
      <c r="V121" s="313">
        <f>ROUND($E$121*V59,0)</f>
        <v>0</v>
      </c>
      <c r="W121" s="313">
        <f>ROUND($E$121*W59,0)</f>
        <v>0</v>
      </c>
      <c r="X121" s="313">
        <f>ROUND($E$121*X59,0)</f>
        <v>0</v>
      </c>
      <c r="Y121" s="314">
        <f t="shared" si="54"/>
        <v>0</v>
      </c>
      <c r="AF121" s="173">
        <f t="shared" ref="AF121:AH122" si="57">AF59</f>
        <v>0</v>
      </c>
      <c r="AG121" s="169" t="str">
        <f t="shared" si="57"/>
        <v>GRA #1</v>
      </c>
      <c r="AH121" s="31" t="str">
        <f t="shared" si="57"/>
        <v>Spring</v>
      </c>
      <c r="AI121" s="269">
        <v>4.1000000000000003E-3</v>
      </c>
      <c r="AK121"/>
      <c r="AO121" s="159"/>
      <c r="AP121" s="79"/>
      <c r="AQ121" s="79"/>
      <c r="AR121" s="79"/>
    </row>
    <row r="122" spans="1:44" ht="25.5" hidden="1" customHeight="1" outlineLevel="1" thickTop="1" thickBot="1" x14ac:dyDescent="0.3">
      <c r="A122" s="176"/>
      <c r="B122" s="172">
        <f t="shared" si="56"/>
        <v>0</v>
      </c>
      <c r="C122" s="168">
        <f t="shared" si="56"/>
        <v>0</v>
      </c>
      <c r="D122" s="31" t="str">
        <f t="shared" si="56"/>
        <v>Summer</v>
      </c>
      <c r="E122" s="269">
        <v>8.0600000000000005E-2</v>
      </c>
      <c r="F122" s="776"/>
      <c r="G122" s="776"/>
      <c r="H122" s="776"/>
      <c r="I122" s="776"/>
      <c r="J122" s="776"/>
      <c r="K122" s="776"/>
      <c r="L122" s="776"/>
      <c r="M122" s="776"/>
      <c r="N122" s="776"/>
      <c r="O122" s="776"/>
      <c r="P122" s="776"/>
      <c r="Q122" s="39">
        <f>ROUND($E$122*Q60,0)</f>
        <v>0</v>
      </c>
      <c r="R122" s="39">
        <f>ROUND($E$122*R60,0)</f>
        <v>0</v>
      </c>
      <c r="S122" s="39">
        <f>ROUND($E$122*S60,0)</f>
        <v>0</v>
      </c>
      <c r="T122" s="81">
        <f t="shared" si="52"/>
        <v>0</v>
      </c>
      <c r="U122" s="371">
        <f t="shared" si="53"/>
        <v>0</v>
      </c>
      <c r="V122" s="246">
        <f>ROUND($E$122*V60,0)</f>
        <v>0</v>
      </c>
      <c r="W122" s="246">
        <f>ROUND($E$122*W60,0)</f>
        <v>0</v>
      </c>
      <c r="X122" s="246">
        <f>ROUND($E$122*X60,0)</f>
        <v>0</v>
      </c>
      <c r="Y122" s="247">
        <f t="shared" si="54"/>
        <v>0</v>
      </c>
      <c r="AF122" s="172">
        <f t="shared" si="57"/>
        <v>0</v>
      </c>
      <c r="AG122" s="168">
        <f t="shared" si="57"/>
        <v>0</v>
      </c>
      <c r="AH122" s="31" t="str">
        <f t="shared" si="57"/>
        <v>Summer</v>
      </c>
      <c r="AI122" s="269">
        <v>8.0600000000000005E-2</v>
      </c>
      <c r="AK122"/>
      <c r="AO122" s="159"/>
      <c r="AP122" s="79"/>
      <c r="AQ122" s="79"/>
      <c r="AR122" s="79"/>
    </row>
    <row r="123" spans="1:44" ht="25.5" hidden="1" customHeight="1" outlineLevel="1" thickTop="1" x14ac:dyDescent="0.25">
      <c r="B123" s="50"/>
      <c r="C123" s="170"/>
      <c r="D123" s="799" t="s">
        <v>191</v>
      </c>
      <c r="E123" s="799"/>
      <c r="F123" s="776"/>
      <c r="G123" s="776"/>
      <c r="H123" s="776"/>
      <c r="I123" s="776"/>
      <c r="J123" s="776"/>
      <c r="K123" s="776"/>
      <c r="L123" s="776"/>
      <c r="M123" s="776"/>
      <c r="N123" s="776"/>
      <c r="O123" s="776"/>
      <c r="P123" s="776"/>
      <c r="Q123" s="49" cm="1">
        <f t="array" ref="Q123">_xlfn.IFNA(_xlfn.IFS(AND(G59=20,N59=8.77,$D$59="Full year"),Rates!$C$21*$B$59,
AND(G59=20,K59=4.39,$D$59="Fall"),Rates!$C$22*$B$59,
AND(G59=20,K59=4.39,$D$59="Spring"),Rates!$C$23*$B$59)*1.05^G$2,0)</f>
        <v>0</v>
      </c>
      <c r="R123" s="49" cm="1">
        <f t="array" ref="R123">_xlfn.IFNA(_xlfn.IFS(AND(H59=20,O59=8.77,$D$59="Full year"),Rates!$C$21*$B$59,
AND(H59=20,L59=4.39,$D$59="Fall"),Rates!$C$22*$B$59,
AND(H59=20,L59=4.39,$D$59="Spring"),Rates!$C$23*$B$59)*1.05^H$2,0)</f>
        <v>0</v>
      </c>
      <c r="S123" s="49" cm="1">
        <f t="array" ref="S123">_xlfn.IFNA(_xlfn.IFS(AND(I59=20,P59=8.77,$D$59="Full year"),Rates!$C$21*$B$59,
AND(I59=20,M59=4.39,$D$59="Fall"),Rates!$C$22*$B$59,
AND(I59=20,M59=4.39,$D$59="Spring"),Rates!$C$23*$B$59)*1.05^I$2,0)</f>
        <v>0</v>
      </c>
      <c r="T123" s="84">
        <f t="shared" si="52"/>
        <v>0</v>
      </c>
      <c r="U123" s="371">
        <f t="shared" si="53"/>
        <v>0</v>
      </c>
      <c r="V123" s="248" cm="1">
        <f t="array" ref="V123">_xlfn.IFNA(_xlfn.IFS(AND(AA59=20,AL59=8.77,$AH$59="Full year"),Rates!$C$21*$AF$59,
AND(AA59=20,AL59=4.39,$AH$59="Fall"),Rates!$C$22*$AF$59,
AND(AA59=20,AL59=4.39,$AH$59="Spring"),Rates!$C$23*$AF$59)*1.05^G$2,0)</f>
        <v>0</v>
      </c>
      <c r="W123" s="248" cm="1">
        <f t="array" ref="W123">_xlfn.IFNA(_xlfn.IFS(AND(AB59=20,AM59=8.77,$AH$59="Full year"),Rates!$C$21*$AF$59,
AND(AB59=20,AM59=4.39,$AH$59="Fall"),Rates!$C$22*$AF$59,
AND(AB59=20,AM59=4.39,$AH$59="Spring"),Rates!$C$23*$AF$59)*1.05^H$2,0)</f>
        <v>0</v>
      </c>
      <c r="X123" s="248" cm="1">
        <f t="array" ref="X123">_xlfn.IFNA(_xlfn.IFS(AND(AC59=20,AN59=8.77,$AH$59="Full year"),Rates!$C$21*$AF$59,
AND(AC59=20,AN59=4.39,$AH$59="Fall"),Rates!$C$22*$AF$59,
AND(AC59=20,AN59=4.39,$AH$59="Spring"),Rates!$C$23*$AF$59)*1.05^I$2,0)</f>
        <v>0</v>
      </c>
      <c r="Y123" s="250">
        <f t="shared" si="54"/>
        <v>0</v>
      </c>
      <c r="AF123" s="50"/>
      <c r="AG123" s="170"/>
      <c r="AH123" s="799" t="s">
        <v>191</v>
      </c>
      <c r="AI123" s="799"/>
      <c r="AK123"/>
      <c r="AO123" s="159"/>
      <c r="AP123" s="79"/>
      <c r="AQ123" s="79"/>
      <c r="AR123" s="79"/>
    </row>
    <row r="124" spans="1:44" ht="25.5" hidden="1" customHeight="1" outlineLevel="1" thickBot="1" x14ac:dyDescent="0.3">
      <c r="B124" s="47"/>
      <c r="C124" s="48"/>
      <c r="D124" s="800" t="s">
        <v>192</v>
      </c>
      <c r="E124" s="800"/>
      <c r="F124" s="776"/>
      <c r="G124" s="776"/>
      <c r="H124" s="776"/>
      <c r="I124" s="776"/>
      <c r="J124" s="776"/>
      <c r="K124" s="776"/>
      <c r="L124" s="776"/>
      <c r="M124" s="776"/>
      <c r="N124" s="776"/>
      <c r="O124" s="776"/>
      <c r="P124" s="776"/>
      <c r="Q124" s="270"/>
      <c r="R124" s="270"/>
      <c r="S124" s="270"/>
      <c r="T124" s="179">
        <f t="shared" si="52"/>
        <v>0</v>
      </c>
      <c r="U124" s="371">
        <f t="shared" si="53"/>
        <v>0</v>
      </c>
      <c r="V124" s="270"/>
      <c r="W124" s="270"/>
      <c r="X124" s="270"/>
      <c r="Y124" s="316">
        <f t="shared" si="54"/>
        <v>0</v>
      </c>
      <c r="AF124" s="47"/>
      <c r="AG124" s="48"/>
      <c r="AH124" s="800" t="s">
        <v>192</v>
      </c>
      <c r="AI124" s="800"/>
      <c r="AK124"/>
      <c r="AO124" s="159"/>
      <c r="AP124" s="79"/>
      <c r="AQ124" s="79"/>
      <c r="AR124" s="79"/>
    </row>
    <row r="125" spans="1:44" ht="25.5" hidden="1" customHeight="1" outlineLevel="1" thickBot="1" x14ac:dyDescent="0.3">
      <c r="A125" s="176"/>
      <c r="B125" s="173">
        <f t="shared" ref="B125:D126" si="58">B61</f>
        <v>0</v>
      </c>
      <c r="C125" s="167" t="str">
        <f t="shared" si="58"/>
        <v>GRA #3</v>
      </c>
      <c r="D125" s="31" t="str">
        <f t="shared" si="58"/>
        <v>Spring</v>
      </c>
      <c r="E125" s="269">
        <v>4.1000000000000003E-3</v>
      </c>
      <c r="F125" s="776"/>
      <c r="G125" s="776"/>
      <c r="H125" s="776"/>
      <c r="I125" s="776"/>
      <c r="J125" s="776"/>
      <c r="K125" s="776"/>
      <c r="L125" s="776"/>
      <c r="M125" s="776"/>
      <c r="N125" s="776"/>
      <c r="O125" s="776"/>
      <c r="P125" s="776"/>
      <c r="Q125" s="177">
        <f>ROUND($E$125*Q61,0)</f>
        <v>0</v>
      </c>
      <c r="R125" s="177">
        <f>ROUND($E$125*R61,0)</f>
        <v>0</v>
      </c>
      <c r="S125" s="177">
        <f>ROUND($E$125*S61,0)</f>
        <v>0</v>
      </c>
      <c r="T125" s="178">
        <f t="shared" si="52"/>
        <v>0</v>
      </c>
      <c r="U125" s="371">
        <f t="shared" si="53"/>
        <v>0</v>
      </c>
      <c r="V125" s="313">
        <f>ROUND($E$125*V61,0)</f>
        <v>0</v>
      </c>
      <c r="W125" s="313">
        <f>ROUND($E$125*W61,0)</f>
        <v>0</v>
      </c>
      <c r="X125" s="313">
        <f>ROUND($E$125*X61,0)</f>
        <v>0</v>
      </c>
      <c r="Y125" s="314">
        <f t="shared" si="54"/>
        <v>0</v>
      </c>
      <c r="AF125" s="173">
        <f t="shared" ref="AF125:AH126" si="59">AF61</f>
        <v>0</v>
      </c>
      <c r="AG125" s="167" t="str">
        <f t="shared" si="59"/>
        <v>GRA #3</v>
      </c>
      <c r="AH125" s="31" t="str">
        <f t="shared" si="59"/>
        <v>Fall</v>
      </c>
      <c r="AI125" s="269">
        <v>4.1000000000000003E-3</v>
      </c>
      <c r="AK125"/>
      <c r="AP125" s="158"/>
      <c r="AQ125" s="79"/>
      <c r="AR125" s="79"/>
    </row>
    <row r="126" spans="1:44" ht="25.5" hidden="1" customHeight="1" outlineLevel="1" thickTop="1" thickBot="1" x14ac:dyDescent="0.3">
      <c r="A126" s="176"/>
      <c r="B126" s="172">
        <f t="shared" si="58"/>
        <v>0</v>
      </c>
      <c r="C126" s="168">
        <f t="shared" si="58"/>
        <v>0</v>
      </c>
      <c r="D126" s="31" t="str">
        <f t="shared" si="58"/>
        <v>Summer</v>
      </c>
      <c r="E126" s="269">
        <v>8.0600000000000005E-2</v>
      </c>
      <c r="F126" s="776"/>
      <c r="G126" s="776"/>
      <c r="H126" s="776"/>
      <c r="I126" s="776"/>
      <c r="J126" s="776"/>
      <c r="K126" s="776"/>
      <c r="L126" s="776"/>
      <c r="M126" s="776"/>
      <c r="N126" s="776"/>
      <c r="O126" s="776"/>
      <c r="P126" s="776"/>
      <c r="Q126" s="39">
        <f>ROUND($E$126*Q62,0)</f>
        <v>0</v>
      </c>
      <c r="R126" s="39">
        <f>ROUND($E$126*R62,0)</f>
        <v>0</v>
      </c>
      <c r="S126" s="39">
        <f>ROUND($E$126*S62,0)</f>
        <v>0</v>
      </c>
      <c r="T126" s="81">
        <f t="shared" si="52"/>
        <v>0</v>
      </c>
      <c r="U126" s="371">
        <f t="shared" si="53"/>
        <v>0</v>
      </c>
      <c r="V126" s="246">
        <f>ROUND($E$126*V62,0)</f>
        <v>0</v>
      </c>
      <c r="W126" s="246">
        <f>ROUND($E$126*W62,0)</f>
        <v>0</v>
      </c>
      <c r="X126" s="246">
        <f>ROUND($E$126*X62,0)</f>
        <v>0</v>
      </c>
      <c r="Y126" s="247">
        <f t="shared" si="54"/>
        <v>0</v>
      </c>
      <c r="AF126" s="172">
        <f t="shared" si="59"/>
        <v>0</v>
      </c>
      <c r="AG126" s="168">
        <f t="shared" si="59"/>
        <v>0</v>
      </c>
      <c r="AH126" s="31" t="str">
        <f t="shared" si="59"/>
        <v>Summer</v>
      </c>
      <c r="AI126" s="269">
        <v>8.0600000000000005E-2</v>
      </c>
      <c r="AK126"/>
      <c r="AP126" s="158"/>
      <c r="AQ126" s="79"/>
      <c r="AR126" s="79"/>
    </row>
    <row r="127" spans="1:44" ht="25.5" hidden="1" customHeight="1" outlineLevel="1" thickTop="1" x14ac:dyDescent="0.25">
      <c r="B127" s="50"/>
      <c r="C127" s="170"/>
      <c r="D127" s="799" t="s">
        <v>191</v>
      </c>
      <c r="E127" s="799"/>
      <c r="F127" s="776"/>
      <c r="G127" s="776"/>
      <c r="H127" s="776"/>
      <c r="I127" s="776"/>
      <c r="J127" s="776"/>
      <c r="K127" s="776"/>
      <c r="L127" s="776"/>
      <c r="M127" s="776"/>
      <c r="N127" s="776"/>
      <c r="O127" s="776"/>
      <c r="P127" s="776"/>
      <c r="Q127" s="49" cm="1">
        <f t="array" ref="Q127">_xlfn.IFNA(_xlfn.IFS(AND(G61=20,K61=8.77,$D$125="Full year"),Rates!$C$21*$B$61,
AND(G61=20,K61=4.39,$D$61="Fall"),Rates!$C$22*$B$61,
AND(G61=20,K61=4.39,$D$61="Spring"),Rates!$C$23*$B$61)*1.05^G$2,0)</f>
        <v>0</v>
      </c>
      <c r="R127" s="49" cm="1">
        <f t="array" ref="R127">_xlfn.IFNA(_xlfn.IFS(AND(H61=20,L61=8.77,$D$125="Full year"),Rates!$C$21*$B$61,
AND(H61=20,L61=4.39,$D$61="Fall"),Rates!$C$22*$B$61,
AND(H61=20,L61=4.39,$D$61="Spring"),Rates!$C$23*$B$61)*1.05^H$2,0)</f>
        <v>0</v>
      </c>
      <c r="S127" s="49" cm="1">
        <f t="array" ref="S127">_xlfn.IFNA(_xlfn.IFS(AND(I61=20,M61=8.77,$D$125="Full year"),Rates!$C$21*$B$61,
AND(I61=20,M61=4.39,$D$61="Fall"),Rates!$C$22*$B$61,
AND(I61=20,M61=4.39,$D$61="Spring"),Rates!$C$23*$B$61)*1.05^I$2,0)</f>
        <v>0</v>
      </c>
      <c r="T127" s="84">
        <f t="shared" si="52"/>
        <v>0</v>
      </c>
      <c r="U127" s="371">
        <f t="shared" si="53"/>
        <v>0</v>
      </c>
      <c r="V127" s="248" cm="1">
        <f t="array" ref="V127">_xlfn.IFNA(_xlfn.IFS(AND(AA61=20,AL61=8.77,$AH$61="Full year"),Rates!$C$21*$AF$61,
AND(AA61=20,AL61=4.39,$AH$61="Fall"),Rates!$C$22*$AF$61,
AND(AA61=20,AL61=4.39,$AH$61="Spring"),Rates!$C$23*$AF$61)*1.05^G$2,0)</f>
        <v>0</v>
      </c>
      <c r="W127" s="248" cm="1">
        <f t="array" ref="W127">_xlfn.IFNA(_xlfn.IFS(AND(AB61=20,AM61=8.77,$AH$61="Full year"),Rates!$C$21*$AF$61,
AND(AB61=20,AM61=4.39,$AH$61="Fall"),Rates!$C$22*$AF$61,
AND(AB61=20,AM61=4.39,$AH$61="Spring"),Rates!$C$23*$AF$61)*1.05^H$2,0)</f>
        <v>0</v>
      </c>
      <c r="X127" s="248" cm="1">
        <f t="array" ref="X127">_xlfn.IFNA(_xlfn.IFS(AND(AC61=20,AN61=8.77,$AH$61="Full year"),Rates!$C$21*$AF$61,
AND(AC61=20,AN61=4.39,$AH$61="Fall"),Rates!$C$22*$AF$61,
AND(AC61=20,AN61=4.39,$AH$61="Spring"),Rates!$C$23*$AF$61)*1.05^I$2,0)</f>
        <v>0</v>
      </c>
      <c r="Y127" s="250">
        <f t="shared" si="54"/>
        <v>0</v>
      </c>
      <c r="AF127" s="50"/>
      <c r="AG127" s="170"/>
      <c r="AH127" s="799" t="s">
        <v>191</v>
      </c>
      <c r="AI127" s="799"/>
      <c r="AK127"/>
      <c r="AP127" s="158"/>
      <c r="AQ127" s="79"/>
      <c r="AR127" s="79"/>
    </row>
    <row r="128" spans="1:44" ht="25.5" hidden="1" customHeight="1" outlineLevel="1" thickBot="1" x14ac:dyDescent="0.3">
      <c r="B128" s="47"/>
      <c r="C128" s="48"/>
      <c r="D128" s="800" t="s">
        <v>192</v>
      </c>
      <c r="E128" s="800"/>
      <c r="F128" s="776"/>
      <c r="G128" s="776"/>
      <c r="H128" s="776"/>
      <c r="I128" s="776"/>
      <c r="J128" s="776"/>
      <c r="K128" s="776"/>
      <c r="L128" s="776"/>
      <c r="M128" s="776"/>
      <c r="N128" s="776"/>
      <c r="O128" s="776"/>
      <c r="P128" s="776"/>
      <c r="Q128" s="270"/>
      <c r="R128" s="270"/>
      <c r="S128" s="270"/>
      <c r="T128" s="179">
        <f t="shared" si="52"/>
        <v>0</v>
      </c>
      <c r="U128" s="371">
        <f t="shared" si="53"/>
        <v>0</v>
      </c>
      <c r="V128" s="270"/>
      <c r="W128" s="270"/>
      <c r="X128" s="270"/>
      <c r="Y128" s="316">
        <f t="shared" si="54"/>
        <v>0</v>
      </c>
      <c r="AF128" s="47"/>
      <c r="AG128" s="48"/>
      <c r="AH128" s="800" t="s">
        <v>192</v>
      </c>
      <c r="AI128" s="800"/>
      <c r="AK128"/>
      <c r="AP128" s="158"/>
      <c r="AQ128" s="79"/>
      <c r="AR128" s="79"/>
    </row>
    <row r="129" spans="1:44" ht="25.5" hidden="1" customHeight="1" outlineLevel="1" thickBot="1" x14ac:dyDescent="0.3">
      <c r="A129" s="176"/>
      <c r="B129" s="174">
        <f>B63</f>
        <v>0</v>
      </c>
      <c r="C129" s="167" t="str">
        <f>C63</f>
        <v>GRA #4</v>
      </c>
      <c r="D129" s="31" t="str">
        <f>D63</f>
        <v>Full year</v>
      </c>
      <c r="E129" s="271">
        <v>4.1000000000000003E-3</v>
      </c>
      <c r="F129" s="776"/>
      <c r="G129" s="776"/>
      <c r="H129" s="776"/>
      <c r="I129" s="776"/>
      <c r="J129" s="776"/>
      <c r="K129" s="776"/>
      <c r="L129" s="776"/>
      <c r="M129" s="776"/>
      <c r="N129" s="776"/>
      <c r="O129" s="776"/>
      <c r="P129" s="776"/>
      <c r="Q129" s="177">
        <f>ROUND($E$129*Q63,0)</f>
        <v>0</v>
      </c>
      <c r="R129" s="177">
        <f>ROUND($E$129*R63,0)</f>
        <v>0</v>
      </c>
      <c r="S129" s="177">
        <f>ROUND($E$129*S63,0)</f>
        <v>0</v>
      </c>
      <c r="T129" s="178">
        <f t="shared" si="52"/>
        <v>0</v>
      </c>
      <c r="U129" s="371">
        <f t="shared" si="53"/>
        <v>0</v>
      </c>
      <c r="V129" s="313">
        <f>ROUND($E$129*V63,0)</f>
        <v>0</v>
      </c>
      <c r="W129" s="313">
        <f>ROUND($E$129*W63,0)</f>
        <v>0</v>
      </c>
      <c r="X129" s="313">
        <f>ROUND($E$129*X63,0)</f>
        <v>0</v>
      </c>
      <c r="Y129" s="317">
        <f t="shared" si="54"/>
        <v>0</v>
      </c>
      <c r="AF129" s="174">
        <f>AF63</f>
        <v>0</v>
      </c>
      <c r="AG129" s="167" t="str">
        <f>AG63</f>
        <v>GRA #4</v>
      </c>
      <c r="AH129" s="31" t="str">
        <f>AH63</f>
        <v>Full year</v>
      </c>
      <c r="AI129" s="271">
        <v>4.1000000000000003E-3</v>
      </c>
      <c r="AK129"/>
      <c r="AP129" s="158"/>
      <c r="AQ129" s="79"/>
      <c r="AR129" s="79"/>
    </row>
    <row r="130" spans="1:44" ht="25.5" hidden="1" customHeight="1" outlineLevel="1" thickTop="1" thickBot="1" x14ac:dyDescent="0.3">
      <c r="A130" s="176"/>
      <c r="B130" s="175">
        <f>B62</f>
        <v>0</v>
      </c>
      <c r="C130" s="168">
        <f>C64</f>
        <v>0</v>
      </c>
      <c r="D130" s="31" t="str">
        <f>D64</f>
        <v>Summer</v>
      </c>
      <c r="E130" s="271">
        <v>8.0600000000000005E-2</v>
      </c>
      <c r="F130" s="776"/>
      <c r="G130" s="776"/>
      <c r="H130" s="776"/>
      <c r="I130" s="776"/>
      <c r="J130" s="776"/>
      <c r="K130" s="776"/>
      <c r="L130" s="776"/>
      <c r="M130" s="776"/>
      <c r="N130" s="776"/>
      <c r="O130" s="776"/>
      <c r="P130" s="776"/>
      <c r="Q130" s="39">
        <f>ROUND($E$130*Q64,0)</f>
        <v>0</v>
      </c>
      <c r="R130" s="39">
        <f>ROUND($E$130*R64,0)</f>
        <v>0</v>
      </c>
      <c r="S130" s="39">
        <f>ROUND($E$130*S64,0)</f>
        <v>0</v>
      </c>
      <c r="T130" s="81">
        <f t="shared" si="52"/>
        <v>0</v>
      </c>
      <c r="U130" s="371">
        <f t="shared" si="53"/>
        <v>0</v>
      </c>
      <c r="V130" s="246">
        <f>ROUND($E$130*V64,0)</f>
        <v>0</v>
      </c>
      <c r="W130" s="246">
        <f>ROUND($E$130*W64,0)</f>
        <v>0</v>
      </c>
      <c r="X130" s="246">
        <f>ROUND($E$130*X64,0)</f>
        <v>0</v>
      </c>
      <c r="Y130" s="247">
        <f t="shared" si="54"/>
        <v>0</v>
      </c>
      <c r="AF130" s="175">
        <f>AF62</f>
        <v>0</v>
      </c>
      <c r="AG130" s="168">
        <f>AG64</f>
        <v>0</v>
      </c>
      <c r="AH130" s="31" t="str">
        <f>AH64</f>
        <v>Summer</v>
      </c>
      <c r="AI130" s="271">
        <v>8.0600000000000005E-2</v>
      </c>
      <c r="AK130"/>
      <c r="AP130" s="158"/>
      <c r="AQ130" s="79"/>
      <c r="AR130" s="79"/>
    </row>
    <row r="131" spans="1:44" ht="25.5" hidden="1" customHeight="1" outlineLevel="1" thickTop="1" x14ac:dyDescent="0.25">
      <c r="B131" s="50"/>
      <c r="C131" s="170"/>
      <c r="D131" s="799" t="s">
        <v>191</v>
      </c>
      <c r="E131" s="799"/>
      <c r="F131" s="776"/>
      <c r="G131" s="776"/>
      <c r="H131" s="776"/>
      <c r="I131" s="776"/>
      <c r="J131" s="776"/>
      <c r="K131" s="776"/>
      <c r="L131" s="776"/>
      <c r="M131" s="776"/>
      <c r="N131" s="776"/>
      <c r="O131" s="776"/>
      <c r="P131" s="776"/>
      <c r="Q131" s="49" cm="1">
        <f t="array" ref="Q131">_xlfn.IFNA(_xlfn.IFS(AND(G63=20,K63=8.77,$D$63="Full year"),Rates!$C$21*$B$63,
AND(G63=20,K63=4.39,$D$63="Fall"),Rates!$C$22*$B$63,
AND(G63=20,K63=4.39,$D$63="Spring"),Rates!$C$23*$B$63)*1.05^G$2,0)</f>
        <v>0</v>
      </c>
      <c r="R131" s="49" cm="1">
        <f t="array" ref="R131">_xlfn.IFNA(_xlfn.IFS(AND(H63=20,L63=8.77,$D$63="Full year"),Rates!$C$21*$B$63,
AND(H63=20,L63=4.39,$D$63="Fall"),Rates!$C$22*$B$63,
AND(H63=20,L63=4.39,$D$63="Spring"),Rates!$C$23*$B$63)*1.05^H$2,0)</f>
        <v>0</v>
      </c>
      <c r="S131" s="49" cm="1">
        <f t="array" ref="S131">_xlfn.IFNA(_xlfn.IFS(AND(I63=20,M63=8.77,$D$63="Full year"),Rates!$C$21*$B$63,
AND(I63=20,M63=4.39,$D$63="Fall"),Rates!$C$22*$B$63,
AND(I63=20,M63=4.39,$D$63="Spring"),Rates!$C$23*$B$63)*1.05^I$2,0)</f>
        <v>0</v>
      </c>
      <c r="T131" s="84">
        <f>SUM(Q131:S131)</f>
        <v>0</v>
      </c>
      <c r="U131" s="371">
        <f t="shared" si="53"/>
        <v>0</v>
      </c>
      <c r="V131" s="248" cm="1">
        <f t="array" ref="V131">_xlfn.IFNA(_xlfn.IFS(AND(AA63=20,AL63=8.77,$AH$63="Full year"),Rates!$C$21*$AF$63,
AND(AA63=20,AL63=4.39,$AH$63="Fall"),Rates!$C$21*$AF$63,
AND(AA63=20,AL63=4.39,$AH$63="Spring"),Rates!$C$21*$AF$63)*1.05^G$2,0)</f>
        <v>0</v>
      </c>
      <c r="W131" s="248" cm="1">
        <f t="array" ref="W131">_xlfn.IFNA(_xlfn.IFS(AND(AB63=20,AM63=8.77,$AH$63="Full year"),Rates!$C$21*$AF$63,
AND(AB63=20,AM63=4.39,$AH$63="Fall"),Rates!$C$21*$AF$63,
AND(AB63=20,AM63=4.39,$AH$63="Spring"),Rates!$C$21*$AF$63)*1.05^H$2,0)</f>
        <v>0</v>
      </c>
      <c r="X131" s="248" cm="1">
        <f t="array" ref="X131">_xlfn.IFNA(_xlfn.IFS(AND(AC63=20,AN63=8.77,$AH$63="Full year"),Rates!$C$21*$AF$63,
AND(AC63=20,AN63=4.39,$AH$63="Fall"),Rates!$C$21*$AF$63,
AND(AC63=20,AN63=4.39,$AH$63="Spring"),Rates!$C$21*$AF$63)*1.05^I$2,0)</f>
        <v>0</v>
      </c>
      <c r="Y131" s="413">
        <f t="shared" si="54"/>
        <v>0</v>
      </c>
      <c r="AF131" s="50"/>
      <c r="AG131" s="170"/>
      <c r="AH131" s="799" t="s">
        <v>191</v>
      </c>
      <c r="AI131" s="799"/>
      <c r="AK131"/>
      <c r="AP131" s="158"/>
      <c r="AQ131" s="79"/>
      <c r="AR131" s="79"/>
    </row>
    <row r="132" spans="1:44" ht="25.5" hidden="1" customHeight="1" outlineLevel="1" thickBot="1" x14ac:dyDescent="0.3">
      <c r="B132" s="47"/>
      <c r="C132" s="48"/>
      <c r="D132" s="800" t="s">
        <v>192</v>
      </c>
      <c r="E132" s="800"/>
      <c r="F132" s="776"/>
      <c r="G132" s="776"/>
      <c r="H132" s="776"/>
      <c r="I132" s="776"/>
      <c r="J132" s="776"/>
      <c r="K132" s="776"/>
      <c r="L132" s="776"/>
      <c r="M132" s="776"/>
      <c r="N132" s="776"/>
      <c r="O132" s="776"/>
      <c r="P132" s="776"/>
      <c r="Q132" s="270"/>
      <c r="R132" s="270"/>
      <c r="S132" s="270"/>
      <c r="T132" s="179">
        <f t="shared" si="52"/>
        <v>0</v>
      </c>
      <c r="U132" s="371">
        <f t="shared" si="53"/>
        <v>0</v>
      </c>
      <c r="V132" s="414"/>
      <c r="W132" s="415"/>
      <c r="X132" s="415"/>
      <c r="Y132" s="416">
        <f t="shared" si="54"/>
        <v>0</v>
      </c>
      <c r="AF132" s="47"/>
      <c r="AG132" s="48"/>
      <c r="AH132" s="800" t="s">
        <v>192</v>
      </c>
      <c r="AI132" s="800"/>
      <c r="AK132"/>
      <c r="AP132" s="158"/>
      <c r="AQ132" s="79"/>
      <c r="AR132" s="79"/>
    </row>
    <row r="133" spans="1:44" ht="25.5" hidden="1" customHeight="1" outlineLevel="1" thickBot="1" x14ac:dyDescent="0.3">
      <c r="A133" s="176"/>
      <c r="B133" s="174">
        <f t="shared" ref="B133:D134" si="60">B65</f>
        <v>0</v>
      </c>
      <c r="C133" s="167" t="str">
        <f t="shared" si="60"/>
        <v>GRA #5</v>
      </c>
      <c r="D133" s="31" t="str">
        <f t="shared" si="60"/>
        <v>Full year</v>
      </c>
      <c r="E133" s="272">
        <v>4.1000000000000003E-3</v>
      </c>
      <c r="F133" s="776"/>
      <c r="G133" s="776"/>
      <c r="H133" s="776"/>
      <c r="I133" s="776"/>
      <c r="J133" s="776"/>
      <c r="K133" s="776"/>
      <c r="L133" s="776"/>
      <c r="M133" s="776"/>
      <c r="N133" s="776"/>
      <c r="O133" s="776"/>
      <c r="P133" s="776"/>
      <c r="Q133" s="177">
        <f>ROUND($E$133*Q65,0)</f>
        <v>0</v>
      </c>
      <c r="R133" s="177">
        <f>ROUND($E$133*R65,0)</f>
        <v>0</v>
      </c>
      <c r="S133" s="177">
        <f>ROUND($E$133*S65,0)</f>
        <v>0</v>
      </c>
      <c r="T133" s="178">
        <f t="shared" si="52"/>
        <v>0</v>
      </c>
      <c r="U133" s="371">
        <f t="shared" si="53"/>
        <v>0</v>
      </c>
      <c r="V133" s="313">
        <f>ROUND($E$133*V65,0)</f>
        <v>0</v>
      </c>
      <c r="W133" s="313">
        <f>ROUND($E$133*W65,0)</f>
        <v>0</v>
      </c>
      <c r="X133" s="313">
        <f>ROUND($E$133*X65,0)</f>
        <v>0</v>
      </c>
      <c r="Y133" s="314">
        <f t="shared" si="54"/>
        <v>0</v>
      </c>
      <c r="AF133" s="174">
        <f t="shared" ref="AF133:AH134" si="61">AF65</f>
        <v>0</v>
      </c>
      <c r="AG133" s="167" t="str">
        <f t="shared" si="61"/>
        <v>GRA #5</v>
      </c>
      <c r="AH133" s="31" t="str">
        <f t="shared" si="61"/>
        <v>Spring</v>
      </c>
      <c r="AI133" s="272">
        <v>4.1000000000000003E-3</v>
      </c>
      <c r="AK133"/>
      <c r="AP133" s="158"/>
      <c r="AQ133" s="79"/>
      <c r="AR133" s="79"/>
    </row>
    <row r="134" spans="1:44" ht="25.5" hidden="1" customHeight="1" outlineLevel="1" thickTop="1" thickBot="1" x14ac:dyDescent="0.3">
      <c r="A134" s="176"/>
      <c r="B134" s="175">
        <f t="shared" si="60"/>
        <v>0</v>
      </c>
      <c r="C134" s="168">
        <f t="shared" si="60"/>
        <v>0</v>
      </c>
      <c r="D134" s="31" t="str">
        <f t="shared" si="60"/>
        <v>Summer</v>
      </c>
      <c r="E134" s="269">
        <v>8.0600000000000005E-2</v>
      </c>
      <c r="F134" s="776"/>
      <c r="G134" s="776"/>
      <c r="H134" s="776"/>
      <c r="I134" s="776"/>
      <c r="J134" s="776"/>
      <c r="K134" s="776"/>
      <c r="L134" s="776"/>
      <c r="M134" s="776"/>
      <c r="N134" s="776"/>
      <c r="O134" s="776"/>
      <c r="P134" s="776"/>
      <c r="Q134" s="39">
        <f>ROUND($E$134*Q66,0)</f>
        <v>0</v>
      </c>
      <c r="R134" s="39">
        <f>ROUND($E$134*R66,0)</f>
        <v>0</v>
      </c>
      <c r="S134" s="39">
        <f>ROUND($E$134*S66,0)</f>
        <v>0</v>
      </c>
      <c r="T134" s="81">
        <f t="shared" si="52"/>
        <v>0</v>
      </c>
      <c r="U134" s="371">
        <f t="shared" si="53"/>
        <v>0</v>
      </c>
      <c r="V134" s="246">
        <f>ROUND($E$134*V66,0)</f>
        <v>0</v>
      </c>
      <c r="W134" s="246">
        <f>ROUND($E$134*W66,0)</f>
        <v>0</v>
      </c>
      <c r="X134" s="246">
        <f>ROUND($E$134*X66,0)</f>
        <v>0</v>
      </c>
      <c r="Y134" s="247">
        <f t="shared" si="54"/>
        <v>0</v>
      </c>
      <c r="AF134" s="175">
        <f t="shared" si="61"/>
        <v>0</v>
      </c>
      <c r="AG134" s="168">
        <f t="shared" si="61"/>
        <v>0</v>
      </c>
      <c r="AH134" s="31" t="str">
        <f t="shared" si="61"/>
        <v>Summer</v>
      </c>
      <c r="AI134" s="269">
        <v>8.0600000000000005E-2</v>
      </c>
      <c r="AK134"/>
      <c r="AP134" s="158"/>
      <c r="AQ134" s="79"/>
      <c r="AR134" s="79"/>
    </row>
    <row r="135" spans="1:44" ht="25.5" hidden="1" customHeight="1" outlineLevel="1" thickTop="1" x14ac:dyDescent="0.25">
      <c r="B135" s="50"/>
      <c r="C135" s="171"/>
      <c r="D135" s="799" t="s">
        <v>191</v>
      </c>
      <c r="E135" s="799"/>
      <c r="F135" s="776"/>
      <c r="G135" s="776"/>
      <c r="H135" s="776"/>
      <c r="I135" s="776"/>
      <c r="J135" s="776"/>
      <c r="K135" s="776"/>
      <c r="L135" s="776"/>
      <c r="M135" s="776"/>
      <c r="N135" s="776"/>
      <c r="O135" s="776"/>
      <c r="P135" s="776"/>
      <c r="Q135" s="49" cm="1">
        <f t="array" ref="Q135">_xlfn.IFNA(_xlfn.IFS(AND(G65=20,K65=8.77,$D$65="Full year"),Rates!$C$21*$B$65,
AND(G65=20,K65=4.39,$D$65="Fall"),Rates!$C$22*$B$65,
AND(G65=20,K65=4.39,$D$65="Spring"),Rates!$C$23*$B$65)*1.05^G$2,0)</f>
        <v>0</v>
      </c>
      <c r="R135" s="49" cm="1">
        <f t="array" ref="R135">_xlfn.IFNA(_xlfn.IFS(AND(H65=20,L65=8.77,$D$65="Full year"),Rates!$C$21*$B$65,
AND(H65=20,L65=4.39,$D$65="Fall"),Rates!$C$22*$B$65,
AND(H65=20,L65=4.39,$D$65="Spring"),Rates!$C$23*$B$65)*1.05^H$2,0)</f>
        <v>0</v>
      </c>
      <c r="S135" s="49" cm="1">
        <f t="array" ref="S135">_xlfn.IFNA(_xlfn.IFS(AND(I65=20,M65=8.77,$D$65="Full year"),Rates!$C$21*$B$65,
AND(I65=20,M65=4.39,$D$65="Fall"),Rates!$C$22*$B$65,
AND(I65=20,M65=4.39,$D$65="Spring"),Rates!$C$23*$B$65)*1.05^I$2,0)</f>
        <v>0</v>
      </c>
      <c r="T135" s="84">
        <f>SUM(Q135:S135)</f>
        <v>0</v>
      </c>
      <c r="U135" s="371">
        <f t="shared" si="53"/>
        <v>0</v>
      </c>
      <c r="V135" s="248" cm="1">
        <f t="array" ref="V135">_xlfn.IFNA(_xlfn.IFS(AND(AA65=20,AL65=8.77,$AH$65="Full year"),Rates!$C$21*$AF$65,
AND(AA65=20,AL65=4.39,$AH$65="Fall"),Rates!$C$22*$AF$65,
AND(AA65=20,AL65=4.39,$AH$65="Spring"),Rates!$C$23*$AF$65)*1.05^G$2,0)</f>
        <v>0</v>
      </c>
      <c r="W135" s="248" cm="1">
        <f t="array" ref="W135">_xlfn.IFNA(_xlfn.IFS(AND(AB65=20,AM65=8.77,$AH$65="Full year"),Rates!$C$21*$AF$65,
AND(AB65=20,AM65=4.39,$AH$65="Fall"),Rates!$C$22*$AF$65,
AND(AB65=20,AM65=4.39,$AH$65="Spring"),Rates!$C$23*$AF$65)*1.05^H$2,0)</f>
        <v>0</v>
      </c>
      <c r="X135" s="248" cm="1">
        <f t="array" ref="X135">_xlfn.IFNA(_xlfn.IFS(AND(AC65=20,AN65=8.77,$AH$65="Full year"),Rates!$C$21*$AF$65,
AND(AC65=20,AN65=4.39,$AH$65="Fall"),Rates!$C$22*$AF$65,
AND(AC65=20,AN65=4.39,$AH$65="Spring"),Rates!$C$23*$AF$65)*1.05^I$2,0)</f>
        <v>0</v>
      </c>
      <c r="Y135" s="250">
        <f t="shared" si="54"/>
        <v>0</v>
      </c>
      <c r="AF135" s="50"/>
      <c r="AG135" s="171"/>
      <c r="AH135" s="799" t="s">
        <v>191</v>
      </c>
      <c r="AI135" s="799"/>
      <c r="AK135"/>
      <c r="AP135" s="158"/>
      <c r="AQ135" s="79"/>
      <c r="AR135" s="79"/>
    </row>
    <row r="136" spans="1:44" ht="25.5" hidden="1" customHeight="1" outlineLevel="1" thickBot="1" x14ac:dyDescent="0.3">
      <c r="B136" s="47"/>
      <c r="C136" s="48"/>
      <c r="D136" s="800" t="s">
        <v>192</v>
      </c>
      <c r="E136" s="800"/>
      <c r="F136" s="776"/>
      <c r="G136" s="776"/>
      <c r="H136" s="776"/>
      <c r="I136" s="776"/>
      <c r="J136" s="776"/>
      <c r="K136" s="776"/>
      <c r="L136" s="776"/>
      <c r="M136" s="776"/>
      <c r="N136" s="776"/>
      <c r="O136" s="776"/>
      <c r="P136" s="776"/>
      <c r="Q136" s="270"/>
      <c r="R136" s="270"/>
      <c r="S136" s="270"/>
      <c r="T136" s="179">
        <f t="shared" si="52"/>
        <v>0</v>
      </c>
      <c r="U136" s="371">
        <f t="shared" si="53"/>
        <v>0</v>
      </c>
      <c r="V136" s="270"/>
      <c r="W136" s="270"/>
      <c r="X136" s="270"/>
      <c r="Y136" s="316">
        <f t="shared" si="54"/>
        <v>0</v>
      </c>
      <c r="AF136" s="47"/>
      <c r="AG136" s="48"/>
      <c r="AH136" s="800" t="s">
        <v>192</v>
      </c>
      <c r="AI136" s="800"/>
      <c r="AK136"/>
      <c r="AP136" s="158"/>
      <c r="AQ136" s="79"/>
      <c r="AR136" s="79"/>
    </row>
    <row r="137" spans="1:44" ht="39.75" customHeight="1" collapsed="1" x14ac:dyDescent="0.25">
      <c r="B137" s="788" t="s">
        <v>193</v>
      </c>
      <c r="C137" s="788"/>
      <c r="D137" s="788"/>
      <c r="E137" s="788"/>
      <c r="F137" s="788"/>
      <c r="G137" s="788"/>
      <c r="H137" s="788"/>
      <c r="I137" s="788"/>
      <c r="J137" s="788"/>
      <c r="K137" s="788"/>
      <c r="L137" s="788"/>
      <c r="M137" s="788"/>
      <c r="N137" s="788"/>
      <c r="O137" s="417"/>
      <c r="P137" s="417"/>
      <c r="Q137" s="418">
        <f t="shared" ref="Q137:T137" si="62">SUM(Q117:Q120,Q121:Q124,Q125:Q128,Q129:Q132,Q133:Q136)</f>
        <v>0</v>
      </c>
      <c r="R137" s="418">
        <f t="shared" si="62"/>
        <v>0</v>
      </c>
      <c r="S137" s="418">
        <f t="shared" si="62"/>
        <v>0</v>
      </c>
      <c r="T137" s="419">
        <f t="shared" si="62"/>
        <v>0</v>
      </c>
      <c r="U137" s="371">
        <f t="shared" si="53"/>
        <v>0</v>
      </c>
      <c r="V137" s="420">
        <f t="shared" ref="V137:Y137" si="63">SUM(V117:V120,V121:V124,V125:V128,V129:V132,V133:V136)</f>
        <v>0</v>
      </c>
      <c r="W137" s="420">
        <f t="shared" si="63"/>
        <v>0</v>
      </c>
      <c r="X137" s="420">
        <f t="shared" si="63"/>
        <v>0</v>
      </c>
      <c r="Y137" s="421">
        <f t="shared" si="63"/>
        <v>0</v>
      </c>
      <c r="Z137" s="409"/>
      <c r="AA137" s="789" t="s">
        <v>193</v>
      </c>
      <c r="AB137" s="789"/>
      <c r="AC137" s="789"/>
      <c r="AD137" s="789"/>
      <c r="AE137" s="789"/>
      <c r="AF137" s="789"/>
      <c r="AG137" s="789"/>
      <c r="AH137" s="789"/>
      <c r="AI137" s="789"/>
      <c r="AJ137" s="789"/>
      <c r="AK137" s="789"/>
      <c r="AL137" s="789"/>
      <c r="AM137" s="789"/>
      <c r="AN137" s="789"/>
      <c r="AO137" s="790"/>
      <c r="AP137" s="158"/>
      <c r="AQ137" s="79"/>
      <c r="AR137" s="79"/>
    </row>
    <row r="138" spans="1:44" ht="42.75" customHeight="1" thickBot="1" x14ac:dyDescent="0.35">
      <c r="B138" s="793" t="s">
        <v>194</v>
      </c>
      <c r="C138" s="793"/>
      <c r="D138" s="793"/>
      <c r="E138" s="793"/>
      <c r="F138" s="793"/>
      <c r="G138" s="793"/>
      <c r="H138" s="793"/>
      <c r="I138" s="793"/>
      <c r="J138" s="793"/>
      <c r="K138" s="793"/>
      <c r="L138" s="793"/>
      <c r="M138" s="793"/>
      <c r="N138" s="793"/>
      <c r="O138" s="793"/>
      <c r="P138" s="793"/>
      <c r="Q138" s="793"/>
      <c r="R138" s="793"/>
      <c r="S138" s="793"/>
      <c r="T138" s="793"/>
      <c r="U138" s="371"/>
      <c r="V138" s="696" t="s">
        <v>195</v>
      </c>
      <c r="W138" s="696"/>
      <c r="X138" s="696"/>
      <c r="Y138" s="696"/>
      <c r="Z138" s="696"/>
      <c r="AA138" s="696"/>
      <c r="AB138" s="696"/>
      <c r="AC138" s="696"/>
      <c r="AD138" s="696"/>
      <c r="AE138" s="696"/>
      <c r="AF138" s="696"/>
      <c r="AG138" s="696"/>
      <c r="AH138" s="696"/>
      <c r="AI138" s="696"/>
      <c r="AJ138" s="696"/>
      <c r="AK138" s="696"/>
      <c r="AL138" s="696"/>
      <c r="AM138" s="696"/>
      <c r="AN138" s="696"/>
      <c r="AO138" s="696"/>
    </row>
    <row r="139" spans="1:44" ht="57.75" customHeight="1" thickTop="1" x14ac:dyDescent="0.25">
      <c r="B139" s="65" t="s">
        <v>137</v>
      </c>
      <c r="C139" s="65" t="s">
        <v>138</v>
      </c>
      <c r="D139" s="66" t="s">
        <v>76</v>
      </c>
      <c r="E139" s="66" t="s">
        <v>196</v>
      </c>
      <c r="F139" s="66" t="s">
        <v>197</v>
      </c>
      <c r="G139" s="794"/>
      <c r="H139" s="794"/>
      <c r="I139" s="794"/>
      <c r="J139" s="794"/>
      <c r="K139" s="794"/>
      <c r="L139" s="794"/>
      <c r="M139" s="794"/>
      <c r="N139" s="794"/>
      <c r="O139" s="794"/>
      <c r="P139" s="794"/>
      <c r="Q139" s="67" t="s">
        <v>123</v>
      </c>
      <c r="R139" s="67" t="s">
        <v>189</v>
      </c>
      <c r="S139" s="67" t="s">
        <v>190</v>
      </c>
      <c r="T139" s="410" t="s">
        <v>110</v>
      </c>
      <c r="U139" s="371"/>
      <c r="V139" s="67" t="s">
        <v>123</v>
      </c>
      <c r="W139" s="67" t="s">
        <v>189</v>
      </c>
      <c r="X139" s="67" t="s">
        <v>190</v>
      </c>
      <c r="Y139" s="422" t="s">
        <v>110</v>
      </c>
      <c r="Z139" s="412"/>
      <c r="AF139" s="65" t="s">
        <v>137</v>
      </c>
      <c r="AG139" s="65" t="s">
        <v>138</v>
      </c>
      <c r="AH139" s="65" t="s">
        <v>76</v>
      </c>
      <c r="AI139" s="65" t="s">
        <v>196</v>
      </c>
      <c r="AJ139" s="66" t="s">
        <v>197</v>
      </c>
      <c r="AO139" s="204"/>
    </row>
    <row r="140" spans="1:44" ht="30" customHeight="1" thickBot="1" x14ac:dyDescent="0.3">
      <c r="B140" s="62">
        <f>B117</f>
        <v>0</v>
      </c>
      <c r="C140" s="31" t="str">
        <f t="shared" ref="B140:D149" si="64">C57</f>
        <v>GRA # 1</v>
      </c>
      <c r="D140" s="31" t="str">
        <f t="shared" si="64"/>
        <v>Full year</v>
      </c>
      <c r="E140" s="53" t="s">
        <v>198</v>
      </c>
      <c r="F140" s="54">
        <f>Rates!C15</f>
        <v>12936</v>
      </c>
      <c r="G140" s="795"/>
      <c r="H140" s="795"/>
      <c r="I140" s="795"/>
      <c r="J140" s="795"/>
      <c r="K140" s="795"/>
      <c r="L140" s="795"/>
      <c r="M140" s="795"/>
      <c r="N140" s="795"/>
      <c r="O140" s="795"/>
      <c r="P140" s="795"/>
      <c r="Q140" s="781" cm="1">
        <f t="array" ref="Q140">_xlfn.IFNA(_xlfn.IFS(AND(G57=20, K57=8.77,$D140="Full year"),$B140*$F140,
AND(G57&gt;=10, G57&lt;=19, K57&gt;=4.39,K57&lt;=8.33,$D140="Full year"),$B140*$F141,
AND(G57=20,K57=4.39,$D140="Fall"),$B140*$F141,
AND(G57&gt;=10, G57&lt;=19, K57&gt;=2.19,K57&lt;=4.17,$D140="Fall"),$B140*($F141/2),
AND(G57=20, K57=4.39,$D140="Spring"),$B140*$F141,
AND(G57&gt;=10, G57&lt;=19, K57&gt;=2.19,K57&lt;=4.17,$D140="Spring"),$B140*($F141/2))*1.05^G$2,0)</f>
        <v>0</v>
      </c>
      <c r="R140" s="781" cm="1">
        <f t="array" ref="R140">_xlfn.IFNA(_xlfn.IFS(AND(H57=20, L57=8.77,$D140="Full year"),$B140*$F140,
AND(H57&gt;=10, H57&lt;=19, L57&gt;=4.39,L57&lt;=8.33,$D140="Full year"),$B140*$F141,
AND(H57=20,L57=4.39,$D140="Fall"),$B140*$F141,
AND(H57&gt;=10, H57&lt;=19, L57&gt;=2.19,L57&lt;=4.17,$D140="Fall"),$B140*($F141/2),
AND(H57=20, L57=4.39,$D140="Spring"),$B140*$F141,
AND(H57&gt;=10, H57&lt;=19, L57&gt;=2.19,L57&lt;=4.17,$D140="Spring"),$B140*($F141/2))*1.05^H$2,0)</f>
        <v>0</v>
      </c>
      <c r="S140" s="781" cm="1">
        <f t="array" ref="S140">_xlfn.IFNA(_xlfn.IFS(AND(I57=20, M57=8.77,$D140="Full year"),$B140*$F140,
AND(I57&gt;=10, I57&lt;=19, M57&gt;=4.39,M57&lt;=8.33,$D140="Full year"),$B140*$F141,
AND(I57=20,M57=4.39,$D140="Fall"),$B140*$F141,
AND(I57&gt;=10, I57&lt;=19, M57&gt;=2.19,M57&lt;=4.17,$D140="Fall"),$B140*($F141/2),
AND(I57=20, M57=4.39,$D140="Spring"),$B140*$F141,
AND(I57&gt;=10, I57&lt;=19, M57&gt;=2.19,M57&lt;=4.17,$D140="Spring"),$B140*($F141/2))*1.05^I$2,0)</f>
        <v>0</v>
      </c>
      <c r="T140" s="796">
        <f>SUM(Q140:S141)</f>
        <v>0</v>
      </c>
      <c r="U140" s="785">
        <f>T140+Y140</f>
        <v>0</v>
      </c>
      <c r="V140" s="786" cm="1">
        <f t="array" ref="V140">_xlfn.IFNA(_xlfn.IFS(AND(AA57=20, AL57=8.77,$AH140="Full year"),$AF140*$AJ140,
AND(AA57&gt;=10, AA57&lt;=19, AL57&gt;=4.39,AL57&lt;=8.33,$AH140="Full year"),$AF140*$AJ141,
AND(AA57=20,AL57=4.39,$AH140="Fall"),$AF140*$AJ141,
AND(AA57&gt;=10, AA57&lt;=19, AL57&gt;=2.19,AL57&lt;=4.17,$AH140="Fall"),$AF140*($AJ141/2),
AND(AA57=20, AL57=4.39,$AH140="Spring"),$AF140*$AJ141,
AND(AA57&gt;=10, AA57&lt;=19, AL57&gt;=2.19,AL57&lt;=4.17,$AH140="Spring"),$AF140*($AJ141/2))*1.05^G$2,0)</f>
        <v>0</v>
      </c>
      <c r="W140" s="786" cm="1">
        <f t="array" ref="W140">_xlfn.IFNA(_xlfn.IFS(AND(AB57=20, AM57=8.77,$AH140="Full year"),$AF140*$AJ140,
AND(AB57&gt;=10, AB57&lt;=19, AM57&gt;=4.39,AM57&lt;=8.33,$AH140="Full year"),$AF140*$AJ141,
AND(AB57=20,AM57=4.39,$AH140="Fall"),$AF140*$AJ141,
AND(AB57&gt;=10, AB57&lt;=19, AM57&gt;=2.19,AM57&lt;=4.17,$AH140="Fall"),$AF140*($AJ141/2),
AND(AB57=20, AM57=4.39,$AH140="Spring"),$AF140*$AJ141,
AND(AB57&gt;=10, AB57&lt;=19, AM57&gt;=2.19,AM57&lt;=4.17,$AH140="Spring"),$AF140*($AJ141/2))*1.05^H$2,0)</f>
        <v>0</v>
      </c>
      <c r="X140" s="786" cm="1">
        <f t="array" ref="X140">_xlfn.IFNA(_xlfn.IFS(AND(AC57=20, AN57=8.77,$AH140="Full year"),$AF140*$AJ140,
AND(AC57&gt;=10, AC57&lt;=19, AN57&gt;=4.39,AN57&lt;=8.33,$AH140="Full year"),$AF140*$AJ141,
AND(AC57=20,AN57=4.39,$AH140="Fall"),$AF140*$AJ141,
AND(AC57&gt;=10, AC57&lt;=19, AN57&gt;=2.19,AN57&lt;=4.17,$AH140="Fall"),$AF140*($AJ141/2),
AND(AC57=20, AN57=4.39,$AH140="Spring"),$AF140*$AJ141,
AND(AC57&gt;=10, AC57&lt;=19, AN57&gt;=2.19,AN57&lt;=4.17,$AH140="Spring"),$AF140*($AJ141/2))*1.05^I$2,0)</f>
        <v>0</v>
      </c>
      <c r="Y140" s="797">
        <f>SUM(V140:X141)</f>
        <v>0</v>
      </c>
      <c r="AF140" s="62">
        <f t="shared" ref="AF140:AH149" si="65">AF57</f>
        <v>0</v>
      </c>
      <c r="AG140" s="31" t="str">
        <f t="shared" si="65"/>
        <v>GRA # 0</v>
      </c>
      <c r="AH140" s="31" t="str">
        <f t="shared" si="65"/>
        <v>Fall</v>
      </c>
      <c r="AI140" s="53" t="s">
        <v>198</v>
      </c>
      <c r="AJ140" s="54">
        <f>Rates!C15</f>
        <v>12936</v>
      </c>
      <c r="AO140" s="159"/>
    </row>
    <row r="141" spans="1:44" ht="30" customHeight="1" thickTop="1" thickBot="1" x14ac:dyDescent="0.3">
      <c r="B141" s="62">
        <f>B118</f>
        <v>0</v>
      </c>
      <c r="C141" s="165">
        <f t="shared" si="64"/>
        <v>0</v>
      </c>
      <c r="D141" s="31" t="str">
        <f t="shared" si="64"/>
        <v>Summer</v>
      </c>
      <c r="E141" s="55" t="s">
        <v>199</v>
      </c>
      <c r="F141" s="56">
        <f>Rates!C16</f>
        <v>6468</v>
      </c>
      <c r="G141" s="795"/>
      <c r="H141" s="795"/>
      <c r="I141" s="795"/>
      <c r="J141" s="795"/>
      <c r="K141" s="795"/>
      <c r="L141" s="795"/>
      <c r="M141" s="795"/>
      <c r="N141" s="795"/>
      <c r="O141" s="795"/>
      <c r="P141" s="795"/>
      <c r="Q141" s="782"/>
      <c r="R141" s="782"/>
      <c r="S141" s="782"/>
      <c r="T141" s="784"/>
      <c r="U141" s="785"/>
      <c r="V141" s="787"/>
      <c r="W141" s="787"/>
      <c r="X141" s="787"/>
      <c r="Y141" s="792"/>
      <c r="AF141" s="62">
        <f t="shared" si="65"/>
        <v>0</v>
      </c>
      <c r="AG141" s="165">
        <f t="shared" si="65"/>
        <v>0</v>
      </c>
      <c r="AH141" s="31" t="str">
        <f t="shared" si="65"/>
        <v>Summer</v>
      </c>
      <c r="AI141" s="55" t="s">
        <v>199</v>
      </c>
      <c r="AJ141" s="215">
        <f>Rates!C16</f>
        <v>6468</v>
      </c>
      <c r="AO141" s="159"/>
    </row>
    <row r="142" spans="1:44" ht="30" hidden="1" customHeight="1" outlineLevel="1" thickTop="1" thickBot="1" x14ac:dyDescent="0.3">
      <c r="B142" s="62">
        <f t="shared" si="64"/>
        <v>0</v>
      </c>
      <c r="C142" s="31" t="str">
        <f t="shared" si="64"/>
        <v>GRA #2</v>
      </c>
      <c r="D142" s="31" t="str">
        <f t="shared" si="64"/>
        <v>Fall</v>
      </c>
      <c r="E142" s="53" t="s">
        <v>198</v>
      </c>
      <c r="F142" s="54">
        <f>Rates!C15</f>
        <v>12936</v>
      </c>
      <c r="G142" s="795"/>
      <c r="H142" s="795"/>
      <c r="I142" s="795"/>
      <c r="J142" s="795"/>
      <c r="K142" s="795"/>
      <c r="L142" s="795"/>
      <c r="M142" s="795"/>
      <c r="N142" s="795"/>
      <c r="O142" s="795"/>
      <c r="P142" s="795"/>
      <c r="Q142" s="781" cm="1">
        <f t="array" ref="Q142">_xlfn.IFNA(_xlfn.IFS(AND(G59=20, K59=8.77,$D142="Full year"),$B142*$F142,
AND(G59&gt;=10, G59&lt;=19, K59&gt;=4.39,K59&lt;=8.33,$D142="Full year"),$B142*$F143,
AND(G59=20,K59=4.39,$D142="Fall"),$B142*$F143,
AND(G59&gt;=10, G59&lt;=19, K59&gt;=2.19,K59&lt;=4.17,$D142="Fall"),$B142*($F143/2),
AND(G59=20, K59=4.39,$D142="Spring"),$B142*$F143,
AND(G59&gt;=10, G59&lt;=19, K59&gt;=2.19,K59&lt;=4.17,$D142="Spring"),$B142*($F143/2))*1.05^G$2,0)</f>
        <v>0</v>
      </c>
      <c r="R142" s="781" cm="1">
        <f t="array" ref="R142">_xlfn.IFNA(_xlfn.IFS(AND(H59=20, L59=8.77,$D142="Full year"),$B142*$F142,
AND(H59&gt;=10, H59&lt;=19, L59&gt;=4.39,L59&lt;=8.33,$D142="Full year"),$B142*$F143,
AND(H59=20,L59=4.39,$D142="Fall"),$B142*$F143,
AND(H59&gt;=10, H59&lt;=19, L59&gt;=2.19,L59&lt;=4.17,$D142="Fall"),$B142*($F143/2),
AND(H59=20, L59=4.39,$D142="Spring"),$B142*$F143,
AND(H59&gt;=10, H59&lt;=19, L59&gt;=2.19,L59&lt;=4.17,$D142="Spring"),$B142*($F143/2))*1.05^H$2,0)</f>
        <v>0</v>
      </c>
      <c r="S142" s="781" cm="1">
        <f t="array" ref="S142">_xlfn.IFNA(_xlfn.IFS(AND(I59=20, M59=8.77,$D142="Full year"),$B142*$F142,
AND(I59&gt;=10, I59&lt;=19, M59&gt;=4.39,M59&lt;=8.33,$D142="Full year"),$B142*$F143,
AND(I59=20,M59=4.39,$D142="Fall"),$B142*$F143,
AND(I59&gt;=10, I59&lt;=19, M59&gt;=2.19,M59&lt;=4.17,$D142="Fall"),$B142*($F143/2),
AND(I59=20, M59=4.39,$D142="Spring"),$B142*$F143,
AND(I59&gt;=10, I59&lt;=19, M59&gt;=2.19,M59&lt;=4.17,$D142="Spring"),$B142*($F143/2))*1.05^I$2,0)</f>
        <v>0</v>
      </c>
      <c r="T142" s="783">
        <f>SUM(Q142:S143)</f>
        <v>0</v>
      </c>
      <c r="U142" s="785">
        <f>T142+Y142</f>
        <v>0</v>
      </c>
      <c r="V142" s="786" cm="1">
        <f t="array" ref="V142">_xlfn.IFNA(_xlfn.IFS(AND(AA59=20, AL59=8.77,$AH142="Full year"),$AF142*$AJ142,
AND(AA59&gt;=10, AA59&lt;=19, AL59&gt;=4.39,AL59&lt;=8.33,$AH142="Full year"),$AF142*$AJ143,
AND(AA59=20,AL59=4.39,$AH142="Fall"),$AF142*$AJ143,
AND(AA59&gt;=10, AA59&lt;=19, AL59&gt;=2.19,AL59&lt;=4.17,$AH142="Fall"),$AF142*($AJ143/2),
AND(AA59=20, AL59=4.39,$AH142="Spring"),$AF142*$AJ143,
AND(AA59&gt;=10, AA59&lt;=19, AL59&gt;=2.19,AL59&lt;=4.17,$AH142="Spring"),$AF142*($AJ143/2))*1.05^G$2,0)</f>
        <v>0</v>
      </c>
      <c r="W142" s="786" cm="1">
        <f t="array" ref="W142">_xlfn.IFNA(_xlfn.IFS(AND(AB59=20, AM59=8.77,$AH142="Full year"),$AF142*$AJ142,
AND(AB59&gt;=10, AB59&lt;=19, AM59&gt;=4.39,AM59&lt;=8.33,$AH142="Full year"),$AF142*$AJ143,
AND(AB59=20,AM59=4.39,$AH142="Fall"),$AF142*$AJ143,
AND(AB59&gt;=10, AB59&lt;=19, AM59&gt;=2.19,AM59&lt;=4.17,$AH142="Fall"),$AF142*($AJ143/2),
AND(AB59=20, AM59=4.39,$AH142="Spring"),$AF142*$AJ143,
AND(AB59&gt;=10, AB59&lt;=19, AM59&gt;=2.19,AM59&lt;=4.17,$AH142="Spring"),$AF142*($AJ143/2))*1.05^H$2,0)</f>
        <v>0</v>
      </c>
      <c r="X142" s="786" cm="1">
        <f t="array" ref="X142">_xlfn.IFNA(_xlfn.IFS(AND(AC59=20, AN59=8.77,$AH142="Full year"),$AF142*$AJ142,
AND(AC59&gt;=10, AC59&lt;=19, AN59&gt;=4.39,AN59&lt;=8.33,$AH142="Full year"),$AF142*$AJ143,
AND(AC59=20,AN59=4.39,$AH142="Fall"),$AF142*$AJ143,
AND(AC59&gt;=10, AC59&lt;=19, AN59&gt;=2.19,AN59&lt;=4.17,$AH142="Fall"),$AF142*($AJ143/2),
AND(AC59=20, AN59=4.39,$AH142="Spring"),$AF142*$AJ143,
AND(AC59&gt;=10, AC59&lt;=19, AN59&gt;=2.19,AN59&lt;=4.17,$AH142="Spring"),$AF142*($AJ143/2))*1.05^I$2,0)</f>
        <v>0</v>
      </c>
      <c r="Y142" s="791">
        <f>SUM(V142:X143)</f>
        <v>0</v>
      </c>
      <c r="AF142" s="62">
        <f t="shared" si="65"/>
        <v>0</v>
      </c>
      <c r="AG142" s="31" t="str">
        <f t="shared" si="65"/>
        <v>GRA #1</v>
      </c>
      <c r="AH142" s="31" t="str">
        <f t="shared" si="65"/>
        <v>Spring</v>
      </c>
      <c r="AI142" s="53" t="s">
        <v>198</v>
      </c>
      <c r="AJ142" s="54">
        <f>Rates!C15</f>
        <v>12936</v>
      </c>
      <c r="AO142" s="159"/>
    </row>
    <row r="143" spans="1:44" ht="30" hidden="1" customHeight="1" outlineLevel="1" thickTop="1" thickBot="1" x14ac:dyDescent="0.3">
      <c r="B143" s="62">
        <f t="shared" si="64"/>
        <v>0</v>
      </c>
      <c r="C143" s="165">
        <f t="shared" si="64"/>
        <v>0</v>
      </c>
      <c r="D143" s="31" t="str">
        <f t="shared" si="64"/>
        <v>Summer</v>
      </c>
      <c r="E143" s="55" t="s">
        <v>200</v>
      </c>
      <c r="F143" s="56">
        <f>Rates!C16</f>
        <v>6468</v>
      </c>
      <c r="G143" s="795"/>
      <c r="H143" s="795"/>
      <c r="I143" s="795"/>
      <c r="J143" s="795"/>
      <c r="K143" s="795"/>
      <c r="L143" s="795"/>
      <c r="M143" s="795"/>
      <c r="N143" s="795"/>
      <c r="O143" s="795"/>
      <c r="P143" s="795"/>
      <c r="Q143" s="782"/>
      <c r="R143" s="782"/>
      <c r="S143" s="782"/>
      <c r="T143" s="784"/>
      <c r="U143" s="785"/>
      <c r="V143" s="787"/>
      <c r="W143" s="787"/>
      <c r="X143" s="787"/>
      <c r="Y143" s="792"/>
      <c r="AF143" s="62">
        <f t="shared" si="65"/>
        <v>0</v>
      </c>
      <c r="AG143" s="165">
        <f t="shared" si="65"/>
        <v>0</v>
      </c>
      <c r="AH143" s="31" t="str">
        <f t="shared" si="65"/>
        <v>Summer</v>
      </c>
      <c r="AI143" s="55" t="s">
        <v>200</v>
      </c>
      <c r="AJ143" s="215">
        <f>AJ141</f>
        <v>6468</v>
      </c>
      <c r="AO143" s="159"/>
    </row>
    <row r="144" spans="1:44" ht="30" hidden="1" customHeight="1" outlineLevel="1" thickTop="1" thickBot="1" x14ac:dyDescent="0.3">
      <c r="B144" s="62">
        <f t="shared" si="64"/>
        <v>0</v>
      </c>
      <c r="C144" s="31" t="str">
        <f t="shared" si="64"/>
        <v>GRA #3</v>
      </c>
      <c r="D144" s="31" t="str">
        <f t="shared" si="64"/>
        <v>Spring</v>
      </c>
      <c r="E144" s="53" t="s">
        <v>198</v>
      </c>
      <c r="F144" s="54">
        <f>Rates!C15</f>
        <v>12936</v>
      </c>
      <c r="G144" s="795"/>
      <c r="H144" s="795"/>
      <c r="I144" s="795"/>
      <c r="J144" s="795"/>
      <c r="K144" s="795"/>
      <c r="L144" s="795"/>
      <c r="M144" s="795"/>
      <c r="N144" s="795"/>
      <c r="O144" s="795"/>
      <c r="P144" s="795"/>
      <c r="Q144" s="781" cm="1">
        <f t="array" ref="Q144">_xlfn.IFNA(_xlfn.IFS(AND(G61=20, K61=8.77,$D144="Full year"),$B144*$F144,
AND(G61&gt;=10, G61&lt;=19, K61&gt;=4.39,K61&lt;=8.33,$D144="Full year"),$B144*$F145,
AND(G61=20,K61=4.39,$D144="Fall"),$B144*$F145,
AND(G61&gt;=10, G61&lt;=19, K61&gt;=2.19,K61&lt;=4.17,$D144="Fall"),$B144*($F145/2),
AND(G61=20, K61=4.39,$D144="Spring"),$B144*$F145,
AND(G61&gt;=10, G61&lt;=19, K61&gt;=2.19,K61&lt;=4.17,$D144="Spring"),$B144*($F145/2))*1.05^G$2,0)</f>
        <v>0</v>
      </c>
      <c r="R144" s="781" cm="1">
        <f t="array" ref="R144">_xlfn.IFNA(_xlfn.IFS(AND(H61=20, L61=8.77,$D144="Full year"),$B144*$F144,
AND(H61&gt;=10, H61&lt;=19, L61&gt;=4.39,L61&lt;=8.33,$D144="Full year"),$B144*$F145,
AND(H61=20,L61=4.39,$D144="Fall"),$B144*$F145,
AND(H61&gt;=10, H61&lt;=19, L61&gt;=2.19,L61&lt;=4.17,$D144="Fall"),$B144*($F145/2),
AND(H61=20, L61=4.39,$D144="Spring"),$B144*$F145,
AND(H61&gt;=10, H61&lt;=19, L61&gt;=2.19,L61&lt;=4.17,$D144="Spring"),$B144*($F145/2))*1.05^H$2,0)</f>
        <v>0</v>
      </c>
      <c r="S144" s="781" cm="1">
        <f t="array" ref="S144">_xlfn.IFNA(_xlfn.IFS(AND(I61=20, M61=8.77,$D144="Full year"),$B144*$F144,
AND(I61&gt;=10, I61&lt;=19, M61&gt;=4.39,M61&lt;=8.33,$D144="Full year"),$B144*$F145,
AND(I61=20,M61=4.39,$D144="Fall"),$B144*$F145,
AND(I61&gt;=10, I61&lt;=19, M61&gt;=2.19,M61&lt;=4.17,$D144="Fall"),$B144*($F145/2),
AND(I61=20, M61=4.39,$D144="Spring"),$B144*$F145,
AND(I61&gt;=10, I61&lt;=19, M61&gt;=2.19,M61&lt;=4.17,$D144="Spring"),$B144*($F145/2))*1.05^I$2,0)</f>
        <v>0</v>
      </c>
      <c r="T144" s="783">
        <f>SUM(Q144:S145)</f>
        <v>0</v>
      </c>
      <c r="U144" s="785">
        <f>T144+Y144</f>
        <v>0</v>
      </c>
      <c r="V144" s="786" cm="1">
        <f t="array" ref="V144">_xlfn.IFNA(_xlfn.IFS(AND(AA61=20, AL61=8.77,$AH144="Full year"),$AF144*$AJ144,
AND(AA61&gt;=10, AA61&lt;=19, AL61&gt;=4.39,AL61&lt;=8.33,$AH144="Full year"),$AF144*$AJ145,
AND(AA61=20,AL61=4.39,$AH144="Fall"),$AF144*$AJ145,
AND(AA61&gt;=10, AA61&lt;=19, AL61&gt;=2.19,AL61&lt;=4.17,$AH144="Fall"),$AF144*($AJ145/2),
AND(AA61=20, AL61=4.39,$AH144="Spring"),$AF144*$AJ145,
AND(AA61&gt;=10, AA61&lt;=19, AL61&gt;=2.19,AL61&lt;=4.17,$AH144="Spring"),$AF144*($AJ145/2))*1.05^G$2,0)</f>
        <v>0</v>
      </c>
      <c r="W144" s="786" cm="1">
        <f t="array" ref="W144">_xlfn.IFNA(_xlfn.IFS(AND(AB61=20, AM61=8.77,$AH144="Full year"),$AF144*$AJ144,
AND(AB61&gt;=10, AB61&lt;=19, AM61&gt;=4.39,AM61&lt;=8.33,$AH144="Full year"),$AF144*$AJ145,
AND(AB61=20,AM61=4.39,$AH144="Fall"),$AF144*$AJ145,
AND(AB61&gt;=10, AB61&lt;=19, AM61&gt;=2.19,AM61&lt;=4.17,$AH144="Fall"),$AF144*($AJ145/2),
AND(AB61=20, AM61=4.39,$AH144="Spring"),$AF144*$AJ145,
AND(AB61&gt;=10, AB61&lt;=19, AM61&gt;=2.19,AM61&lt;=4.17,$AH144="Spring"),$AF144*($AJ145/2))*1.05^H$2,0)</f>
        <v>0</v>
      </c>
      <c r="X144" s="786" cm="1">
        <f t="array" ref="X144">_xlfn.IFNA(_xlfn.IFS(AND(AC61=20, AN61=8.77,$AH144="Full year"),$AF144*$AJ144,
AND(AC61&gt;=10, AC61&lt;=19, AN61&gt;=4.39,AN61&lt;=8.33,$AH144="Full year"),$AF144*$AJ145,
AND(AC61=20,AN61=4.39,$AH144="Fall"),$AF144*$AJ145,
AND(AC61&gt;=10, AC61&lt;=19, AN61&gt;=2.19,AN61&lt;=4.17,$AH144="Fall"),$AF144*($AJ145/2),
AND(AC61=20, AN61=4.39,$AH144="Spring"),$AF144*$AJ145,
AND(AC61&gt;=10, AC61&lt;=19, AN61&gt;=2.19,AN61&lt;=4.17,$AH144="Spring"),$AF144*($AJ145/2))*1.05^I$2,0)</f>
        <v>0</v>
      </c>
      <c r="Y144" s="791">
        <f>SUM(V144:X145)</f>
        <v>0</v>
      </c>
      <c r="AF144" s="62">
        <f t="shared" si="65"/>
        <v>0</v>
      </c>
      <c r="AG144" s="31" t="str">
        <f t="shared" si="65"/>
        <v>GRA #3</v>
      </c>
      <c r="AH144" s="31" t="str">
        <f t="shared" si="65"/>
        <v>Fall</v>
      </c>
      <c r="AI144" s="53" t="s">
        <v>198</v>
      </c>
      <c r="AJ144" s="54">
        <f>AJ140</f>
        <v>12936</v>
      </c>
      <c r="AO144" s="159"/>
    </row>
    <row r="145" spans="2:41" ht="30" hidden="1" customHeight="1" outlineLevel="1" thickTop="1" thickBot="1" x14ac:dyDescent="0.3">
      <c r="B145" s="62">
        <f t="shared" si="64"/>
        <v>0</v>
      </c>
      <c r="C145" s="165">
        <f t="shared" si="64"/>
        <v>0</v>
      </c>
      <c r="D145" s="31" t="str">
        <f t="shared" si="64"/>
        <v>Summer</v>
      </c>
      <c r="E145" s="55" t="s">
        <v>200</v>
      </c>
      <c r="F145" s="56">
        <f>Rates!C16</f>
        <v>6468</v>
      </c>
      <c r="G145" s="795"/>
      <c r="H145" s="795"/>
      <c r="I145" s="795"/>
      <c r="J145" s="795"/>
      <c r="K145" s="795"/>
      <c r="L145" s="795"/>
      <c r="M145" s="795"/>
      <c r="N145" s="795"/>
      <c r="O145" s="795"/>
      <c r="P145" s="795"/>
      <c r="Q145" s="782"/>
      <c r="R145" s="782"/>
      <c r="S145" s="782"/>
      <c r="T145" s="784"/>
      <c r="U145" s="785"/>
      <c r="V145" s="787"/>
      <c r="W145" s="787"/>
      <c r="X145" s="787"/>
      <c r="Y145" s="792"/>
      <c r="AF145" s="62">
        <f t="shared" si="65"/>
        <v>0</v>
      </c>
      <c r="AG145" s="165">
        <f t="shared" si="65"/>
        <v>0</v>
      </c>
      <c r="AH145" s="31" t="str">
        <f t="shared" si="65"/>
        <v>Summer</v>
      </c>
      <c r="AI145" s="55" t="s">
        <v>200</v>
      </c>
      <c r="AJ145" s="54">
        <f>AJ141</f>
        <v>6468</v>
      </c>
      <c r="AO145" s="159"/>
    </row>
    <row r="146" spans="2:41" ht="30" hidden="1" customHeight="1" outlineLevel="1" thickTop="1" thickBot="1" x14ac:dyDescent="0.3">
      <c r="B146" s="62">
        <f t="shared" si="64"/>
        <v>0</v>
      </c>
      <c r="C146" s="31" t="str">
        <f t="shared" si="64"/>
        <v>GRA #4</v>
      </c>
      <c r="D146" s="31" t="str">
        <f t="shared" si="64"/>
        <v>Full year</v>
      </c>
      <c r="E146" s="53" t="s">
        <v>198</v>
      </c>
      <c r="F146" s="54">
        <f>Rates!C15</f>
        <v>12936</v>
      </c>
      <c r="G146" s="795"/>
      <c r="H146" s="795"/>
      <c r="I146" s="795"/>
      <c r="J146" s="795"/>
      <c r="K146" s="795"/>
      <c r="L146" s="795"/>
      <c r="M146" s="795"/>
      <c r="N146" s="795"/>
      <c r="O146" s="795"/>
      <c r="P146" s="795"/>
      <c r="Q146" s="781" cm="1">
        <f t="array" ref="Q146">_xlfn.IFNA(_xlfn.IFS(AND(G63=20, K63=8.77,$D146="Full year"),$B146*$F146,
AND(G63&gt;=10, G63&lt;=19, K63&gt;=4.39,K63&lt;=8.33,$D146="Full year"),$B146*$F147,
AND(G63=20,K63=4.39,$D146="Fall"),$B146*$F147,
AND(G63&gt;=10, G63&lt;=19, K63&gt;=2.19,K63&lt;=4.17,$D146="Fall"),$B146*($F147/2),
AND(G63=20, K63=4.39,$D146="Spring"),$B146*$F147,
AND(G63&gt;=10, G63&lt;=19, K63&gt;=2.19,K63&lt;=4.17,$D146="Spring"),$B146*($F147/2))*1.05^G$2,0)</f>
        <v>0</v>
      </c>
      <c r="R146" s="781" cm="1">
        <f t="array" ref="R146">_xlfn.IFNA(_xlfn.IFS(AND(H63=20, L63=8.77,$D146="Full year"),$B146*$F146,
AND(H63&gt;=10, H63&lt;=19, L63&gt;=4.39,L63&lt;=8.33,$D146="Full year"),$B146*$F147,
AND(H63=20,L63=4.39,$D146="Fall"),$B146*$F147,
AND(H63&gt;=10, H63&lt;=19, L63&gt;=2.19,L63&lt;=4.17,$D146="Fall"),$B146*($F147/2),
AND(H63=20, L63=4.39,$D146="Spring"),$B146*$F147,
AND(H63&gt;=10, H63&lt;=19, L63&gt;=2.19,L63&lt;=4.17,$D146="Spring"),$B146*($F147/2))*1.05^H$2,0)</f>
        <v>0</v>
      </c>
      <c r="S146" s="781" cm="1">
        <f t="array" ref="S146">_xlfn.IFNA(_xlfn.IFS(AND(I63=20, M63=8.77,$D146="Full year"),$B146*$F146,
AND(I63&gt;=10, I63&lt;=19, M63&gt;=4.39,M63&lt;=8.33,$D146="Full year"),$B146*$F147,
AND(I63=20,M63=4.39,$D146="Fall"),$B146*$F147,
AND(I63&gt;=10, I63&lt;=19, M63&gt;=2.19,M63&lt;=4.17,$D146="Fall"),$B146*($F147/2),
AND(I63=20, M63=4.39,$D146="Spring"),$B146*$F147,
AND(I63&gt;=10, I63&lt;=19, M63&gt;=2.19,M63&lt;=4.17,$D146="Spring"),$B146*($F147/2))*1.05^I$2,0)</f>
        <v>0</v>
      </c>
      <c r="T146" s="783">
        <f>SUM(Q146:S147)</f>
        <v>0</v>
      </c>
      <c r="U146" s="785">
        <f>T146+Y146</f>
        <v>0</v>
      </c>
      <c r="V146" s="786" cm="1">
        <f t="array" ref="V146">_xlfn.IFNA(_xlfn.IFS(AND(AA63=20, AL63=8.77,$AH146="Full year"),$AF146*$AJ146,
AND(AA63&gt;=10, AA63&lt;=19, AL63&gt;=4.39,AL63&lt;=8.33,$AH146="Full year"),$AF146*$AJ147,
AND(AA63=20,AL63=4.39,$AH146="Fall"),$AF146*$AJ147,
AND(AA63&gt;=10, AA63&lt;=19, AL63&gt;=2.19,AL63&lt;=4.17,$AH146="Fall"),$AF146*($AJ147/2),
AND(AA63=20, AL63=4.39,$AH146="Spring"),$AF146*$AJ147,
AND(AA63&gt;=10, AA63&lt;=19, AL63&gt;=2.19,AL63&lt;=4.17,$AH146="Spring"),$AF146*($AJ147/2))*1.05^G$2,0)</f>
        <v>0</v>
      </c>
      <c r="W146" s="786" cm="1">
        <f t="array" ref="W146">_xlfn.IFNA(_xlfn.IFS(AND(AB63=20, AM63=8.77,$AH146="Full year"),$AF146*$AJ146,
AND(AB63&gt;=10, AB63&lt;=19, AM63&gt;=4.39,AM63&lt;=8.33,$AH146="Full year"),$AF146*$AJ147,
AND(AB63=20,AM63=4.39,$AH146="Fall"),$AF146*$AJ147,
AND(AB63&gt;=10, AB63&lt;=19, AM63&gt;=2.19,AM63&lt;=4.17,$AH146="Fall"),$AF146*($AJ147/2),
AND(AB63=20, AM63=4.39,$AH146="Spring"),$AF146*$AJ147,
AND(AB63&gt;=10, AB63&lt;=19, AM63&gt;=2.19,AM63&lt;=4.17,$AH146="Spring"),$AF146*($AJ147/2))*1.05^H$2,0)</f>
        <v>0</v>
      </c>
      <c r="X146" s="786" cm="1">
        <f t="array" ref="X146">_xlfn.IFNA(_xlfn.IFS(AND(AC63=20, AN63=8.77,$AH146="Full year"),$AF146*$AJ146,
AND(AC63&gt;=10, AC63&lt;=19, AN63&gt;=4.39,AN63&lt;=8.33,$AH146="Full year"),$AF146*$AJ147,
AND(AC63=20,AN63=4.39,$AH146="Fall"),$AF146*$AJ147,
AND(AC63&gt;=10, AC63&lt;=19, AN63&gt;=2.19,AN63&lt;=4.17,$AH146="Fall"),$AF146*($AJ147/2),
AND(AC63=20, AN63=4.39,$AH146="Spring"),$AF146*$AJ147,
AND(AC63&gt;=10, AC63&lt;=19, AN63&gt;=2.19,AN63&lt;=4.17,$AH146="Spring"),$AF146*($AJ147/2))*1.05^I$2,0)</f>
        <v>0</v>
      </c>
      <c r="Y146" s="791">
        <f>SUM(V146:X147)</f>
        <v>0</v>
      </c>
      <c r="AF146" s="62">
        <f t="shared" si="65"/>
        <v>0</v>
      </c>
      <c r="AG146" s="31" t="str">
        <f t="shared" si="65"/>
        <v>GRA #4</v>
      </c>
      <c r="AH146" s="31" t="str">
        <f t="shared" si="65"/>
        <v>Full year</v>
      </c>
      <c r="AI146" s="53" t="s">
        <v>198</v>
      </c>
      <c r="AJ146" s="216">
        <f>AJ140</f>
        <v>12936</v>
      </c>
      <c r="AO146" s="159"/>
    </row>
    <row r="147" spans="2:41" ht="30" hidden="1" customHeight="1" outlineLevel="1" thickTop="1" thickBot="1" x14ac:dyDescent="0.3">
      <c r="B147" s="62">
        <f t="shared" si="64"/>
        <v>0</v>
      </c>
      <c r="C147" s="165">
        <f t="shared" si="64"/>
        <v>0</v>
      </c>
      <c r="D147" s="31" t="str">
        <f t="shared" si="64"/>
        <v>Summer</v>
      </c>
      <c r="E147" s="55" t="s">
        <v>199</v>
      </c>
      <c r="F147" s="56">
        <f>Rates!C16</f>
        <v>6468</v>
      </c>
      <c r="G147" s="795"/>
      <c r="H147" s="795"/>
      <c r="I147" s="795"/>
      <c r="J147" s="795"/>
      <c r="K147" s="795"/>
      <c r="L147" s="795"/>
      <c r="M147" s="795"/>
      <c r="N147" s="795"/>
      <c r="O147" s="795"/>
      <c r="P147" s="795"/>
      <c r="Q147" s="782"/>
      <c r="R147" s="782"/>
      <c r="S147" s="782"/>
      <c r="T147" s="784"/>
      <c r="U147" s="785"/>
      <c r="V147" s="787"/>
      <c r="W147" s="787"/>
      <c r="X147" s="787"/>
      <c r="Y147" s="792"/>
      <c r="AF147" s="62">
        <f t="shared" si="65"/>
        <v>0</v>
      </c>
      <c r="AG147" s="165">
        <f t="shared" si="65"/>
        <v>0</v>
      </c>
      <c r="AH147" s="31" t="str">
        <f t="shared" si="65"/>
        <v>Summer</v>
      </c>
      <c r="AI147" s="55" t="s">
        <v>199</v>
      </c>
      <c r="AJ147" s="54">
        <f>AJ141</f>
        <v>6468</v>
      </c>
      <c r="AO147" s="159"/>
    </row>
    <row r="148" spans="2:41" ht="30" hidden="1" customHeight="1" outlineLevel="1" thickTop="1" thickBot="1" x14ac:dyDescent="0.3">
      <c r="B148" s="62">
        <f t="shared" si="64"/>
        <v>0</v>
      </c>
      <c r="C148" s="31" t="str">
        <f t="shared" si="64"/>
        <v>GRA #5</v>
      </c>
      <c r="D148" s="31" t="str">
        <f t="shared" si="64"/>
        <v>Full year</v>
      </c>
      <c r="E148" s="53" t="s">
        <v>198</v>
      </c>
      <c r="F148" s="54">
        <f>Rates!C15</f>
        <v>12936</v>
      </c>
      <c r="G148" s="795"/>
      <c r="H148" s="795"/>
      <c r="I148" s="795"/>
      <c r="J148" s="795"/>
      <c r="K148" s="795"/>
      <c r="L148" s="795"/>
      <c r="M148" s="795"/>
      <c r="N148" s="795"/>
      <c r="O148" s="795"/>
      <c r="P148" s="795"/>
      <c r="Q148" s="781" cm="1">
        <f t="array" ref="Q148">_xlfn.IFNA(_xlfn.IFS(AND(G65=20, K65=8.77,$D148="Full year"),$B148*$F148,
AND(G65&gt;=10, G65&lt;=19, K65&gt;=4.39,K65&lt;=8.33,$D148="Full year"),$B148*$F149,
AND(G65=20,K65=4.39,$D148="Fall"),$B148*$F149,
AND(G65&gt;=10, G65&lt;=19, K65&gt;=2.19,K65&lt;=4.17,$D148="Fall"),$B148*($F149/2),
AND(G65=20, K65=4.39,$D148="Spring"),$B148*$F149,
AND(G65&gt;=10, G65&lt;=19, K65&gt;=2.19,K65&lt;=4.17,$D148="Spring"),$B148*($F149/2))*1.05^G$2,0)</f>
        <v>0</v>
      </c>
      <c r="R148" s="781" cm="1">
        <f t="array" ref="R148">_xlfn.IFNA(_xlfn.IFS(AND(H65=20, L65=8.77,$D148="Full year"),$B148*$F148,
AND(H65&gt;=10, H65&lt;=19, L65&gt;=4.39,L65&lt;=8.33,$D148="Full year"),$B148*$F149,
AND(H65=20,L65=4.39,$D148="Fall"),$B148*$F149,
AND(H65&gt;=10, H65&lt;=19, L65&gt;=2.19,L65&lt;=4.17,$D148="Fall"),$B148*($F149/2),
AND(H65=20, L65=4.39,$D148="Spring"),$B148*$F149,
AND(H65&gt;=10, H65&lt;=19, L65&gt;=2.19,L65&lt;=4.17,$D148="Spring"),$B148*($F149/2))*1.05^H$2,0)</f>
        <v>0</v>
      </c>
      <c r="S148" s="781" cm="1">
        <f t="array" ref="S148">_xlfn.IFNA(_xlfn.IFS(AND(I65=20, M65=8.77,$D148="Full year"),$B148*$F148,
AND(I65&gt;=10, I65&lt;=19, M65&gt;=4.39,M65&lt;=8.33,$D148="Full year"),$B148*$F149,
AND(I65=20,M65=4.39,$D148="Fall"),$B148*$F149,
AND(I65&gt;=10, I65&lt;=19, M65&gt;=2.19,M65&lt;=4.17,$D148="Fall"),$B148*($F149/2),
AND(I65=20, M65=4.39,$D148="Spring"),$B148*$F149,
AND(I65&gt;=10, I65&lt;=19, M65&gt;=2.19,M65&lt;=4.17,$D148="Spring"),$B148*($F149/2))*1.05^I$2,0)</f>
        <v>0</v>
      </c>
      <c r="T148" s="783">
        <f>SUM(Q148:S149)</f>
        <v>0</v>
      </c>
      <c r="U148" s="785">
        <f>T148+Y148</f>
        <v>0</v>
      </c>
      <c r="V148" s="786" cm="1">
        <f t="array" ref="V148">_xlfn.IFNA(_xlfn.IFS(AND(AA65=20, AL65=8.77,$AH148="Full year"),$AF148*$AJ148,
AND(AA65&gt;=10, AA65&lt;=19, AL65&gt;=4.39,AL65&lt;=8.33,$AH148="Full year"),$AF148*$AJ149,
AND(AA65=20,AL65=4.39,$AH148="Fall"),$AF148*$AJ149,
AND(AA65&gt;=10, AA65&lt;=19, AL65&gt;=2.19,AL65&lt;=4.17,$AH148="Fall"),$AF148*($AJ149/2),
AND(AA65=20, AL65=4.39,$AH148="Spring"),$AF148*$AJ149,
AND(AA65&gt;=10, AA65&lt;=19, AL65&gt;=2.19,AL65&lt;=4.17,$AH148="Spring"),$AF148*($AJ149/2))*1.05^G$2,0)</f>
        <v>0</v>
      </c>
      <c r="W148" s="786" cm="1">
        <f t="array" ref="W148">_xlfn.IFNA(_xlfn.IFS(AND(AB65=20, AM65=8.77,$AH148="Full year"),$AF148*$AJ148,
AND(AB65&gt;=10, AB65&lt;=19, AM65&gt;=4.39,AM65&lt;=8.33,$AH148="Full year"),$AF148*$AJ149,
AND(AB65=20,AM65=4.39,$AH148="Fall"),$AF148*$AJ149,
AND(AB65&gt;=10, AB65&lt;=19, AM65&gt;=2.19,AM65&lt;=4.17,$AH148="Fall"),$AF148*($AJ149/2),
AND(AB65=20, AM65=4.39,$AH148="Spring"),$AF148*$AJ149,
AND(AB65&gt;=10, AB65&lt;=19, AM65&gt;=2.19,AM65&lt;=4.17,$AH148="Spring"),$AF148*($AJ149/2))*1.05^H$2,0)</f>
        <v>0</v>
      </c>
      <c r="X148" s="786" cm="1">
        <f t="array" ref="X148">_xlfn.IFNA(_xlfn.IFS(AND(AC65=20, AN65=8.77,$AH148="Full year"),$AF148*$AJ148,
AND(AC65&gt;=10, AC65&lt;=19, AN65&gt;=4.39,AN65&lt;=8.33,$AH148="Full year"),$AF148*$AJ149,
AND(AC65=20,AN65=4.39,$AH148="Fall"),$AF148*$AJ149,
AND(AC65&gt;=10, AC65&lt;=19, AN65&gt;=2.19,AN65&lt;=4.17,$AH148="Fall"),$AF148*($AJ149/2),
AND(AC65=20, AN65=4.39,$AH148="Spring"),$AF148*$AJ149,
AND(AC65&gt;=10, AC65&lt;=19, AN65&gt;=2.19,AN65&lt;=4.17,$AH148="Spring"),$AF148*($AJ149/2))*1.05^I$2,0)</f>
        <v>0</v>
      </c>
      <c r="Y148" s="791">
        <f>SUM(V148:X149)</f>
        <v>0</v>
      </c>
      <c r="AF148" s="62">
        <f t="shared" si="65"/>
        <v>0</v>
      </c>
      <c r="AG148" s="31" t="str">
        <f t="shared" si="65"/>
        <v>GRA #5</v>
      </c>
      <c r="AH148" s="31" t="str">
        <f t="shared" si="65"/>
        <v>Spring</v>
      </c>
      <c r="AI148" s="53" t="s">
        <v>198</v>
      </c>
      <c r="AJ148" s="216">
        <f>AJ140</f>
        <v>12936</v>
      </c>
      <c r="AO148" s="159"/>
    </row>
    <row r="149" spans="2:41" ht="30" hidden="1" customHeight="1" outlineLevel="1" thickTop="1" thickBot="1" x14ac:dyDescent="0.3">
      <c r="B149" s="62">
        <f t="shared" si="64"/>
        <v>0</v>
      </c>
      <c r="C149" s="165">
        <f t="shared" si="64"/>
        <v>0</v>
      </c>
      <c r="D149" s="31" t="str">
        <f t="shared" si="64"/>
        <v>Summer</v>
      </c>
      <c r="E149" s="57" t="s">
        <v>200</v>
      </c>
      <c r="F149" s="58">
        <f>Rates!C16</f>
        <v>6468</v>
      </c>
      <c r="G149" s="795"/>
      <c r="H149" s="795"/>
      <c r="I149" s="795"/>
      <c r="J149" s="795"/>
      <c r="K149" s="795"/>
      <c r="L149" s="795"/>
      <c r="M149" s="795"/>
      <c r="N149" s="795"/>
      <c r="O149" s="795"/>
      <c r="P149" s="795"/>
      <c r="Q149" s="782"/>
      <c r="R149" s="782"/>
      <c r="S149" s="782"/>
      <c r="T149" s="784"/>
      <c r="U149" s="785"/>
      <c r="V149" s="787"/>
      <c r="W149" s="787"/>
      <c r="X149" s="787"/>
      <c r="Y149" s="792"/>
      <c r="AF149" s="62">
        <f t="shared" si="65"/>
        <v>0</v>
      </c>
      <c r="AG149" s="165">
        <f t="shared" si="65"/>
        <v>0</v>
      </c>
      <c r="AH149" s="31" t="str">
        <f t="shared" si="65"/>
        <v>Summer</v>
      </c>
      <c r="AI149" s="55" t="s">
        <v>200</v>
      </c>
      <c r="AJ149" s="215">
        <f>AJ141</f>
        <v>6468</v>
      </c>
      <c r="AO149" s="159"/>
    </row>
    <row r="150" spans="2:41" ht="33.75" customHeight="1" collapsed="1" thickTop="1" x14ac:dyDescent="0.25">
      <c r="B150" s="788" t="s">
        <v>201</v>
      </c>
      <c r="C150" s="788"/>
      <c r="D150" s="788"/>
      <c r="E150" s="788"/>
      <c r="F150" s="788"/>
      <c r="G150" s="788"/>
      <c r="H150" s="788"/>
      <c r="I150" s="788"/>
      <c r="J150" s="788"/>
      <c r="K150" s="788"/>
      <c r="L150" s="788"/>
      <c r="M150" s="788"/>
      <c r="N150" s="788"/>
      <c r="O150" s="417"/>
      <c r="P150" s="417"/>
      <c r="Q150" s="516">
        <f>SUM(Q140,Q142,Q144,Q146,Q148)</f>
        <v>0</v>
      </c>
      <c r="R150" s="516">
        <f>SUM(R140,R142,R144,R146,R148)</f>
        <v>0</v>
      </c>
      <c r="S150" s="516">
        <f>SUM(S140,S142,S144,S146,S148)</f>
        <v>0</v>
      </c>
      <c r="T150" s="517">
        <f>SUM(T140,T142,T144,T146,T148)</f>
        <v>0</v>
      </c>
      <c r="U150" s="371">
        <f>TuitionTOT+Y150</f>
        <v>0</v>
      </c>
      <c r="V150" s="528">
        <f>SUM(V140:V149)</f>
        <v>0</v>
      </c>
      <c r="W150" s="528">
        <f>SUM(W140:W149)</f>
        <v>0</v>
      </c>
      <c r="X150" s="528">
        <f>SUM(X140:X149)</f>
        <v>0</v>
      </c>
      <c r="Y150" s="528">
        <f>SUM(Y140:Y149)</f>
        <v>0</v>
      </c>
      <c r="Z150" s="409"/>
      <c r="AA150" s="789" t="s">
        <v>202</v>
      </c>
      <c r="AB150" s="789"/>
      <c r="AC150" s="789"/>
      <c r="AD150" s="789"/>
      <c r="AE150" s="789"/>
      <c r="AF150" s="789"/>
      <c r="AG150" s="789"/>
      <c r="AH150" s="789"/>
      <c r="AI150" s="789"/>
      <c r="AJ150" s="789"/>
      <c r="AK150" s="789"/>
      <c r="AL150" s="789"/>
      <c r="AM150" s="789"/>
      <c r="AN150" s="789"/>
      <c r="AO150" s="790"/>
    </row>
    <row r="151" spans="2:41" ht="41.25" customHeight="1" thickBot="1" x14ac:dyDescent="0.3">
      <c r="B151" s="691" t="s">
        <v>203</v>
      </c>
      <c r="C151" s="691"/>
      <c r="D151" s="691"/>
      <c r="E151" s="691"/>
      <c r="F151" s="691"/>
      <c r="G151" s="691"/>
      <c r="H151" s="691"/>
      <c r="I151" s="691"/>
      <c r="J151" s="691"/>
      <c r="K151" s="691"/>
      <c r="L151" s="691"/>
      <c r="M151" s="691"/>
      <c r="N151" s="691"/>
      <c r="O151" s="404"/>
      <c r="P151" s="423"/>
      <c r="Q151" s="424">
        <f>SUM(OtherPersonnelBenefits1,GRABenefits1,Tuition1)</f>
        <v>0</v>
      </c>
      <c r="R151" s="424">
        <f>SUM(OtherPersonnelBenefits2, GRABenefits2, Tuition2)</f>
        <v>0</v>
      </c>
      <c r="S151" s="425">
        <f>SUM(OtherPersonnelBenefits3,GRABenefits3,Tuition3)</f>
        <v>0</v>
      </c>
      <c r="T151" s="424">
        <f>SUM(OtherPersonnelBenefitsTOT,GRABenefitsTOT,TuitionTOT)</f>
        <v>0</v>
      </c>
      <c r="U151" s="371">
        <f>T151+Y151</f>
        <v>0</v>
      </c>
      <c r="V151" s="529">
        <f>cs.Oth.Fringe1 + cs.GRABenefits1 + cs.GRA.Tuition1</f>
        <v>0</v>
      </c>
      <c r="W151" s="529">
        <f>cs.Oth.Fringe2 + cs.GRABenefits2 + cs.GRA.Tuition2</f>
        <v>0</v>
      </c>
      <c r="X151" s="529">
        <f>cs.Oth.Fringe3 + cs.GRABenefits3 + cs.GRA.Tuition3</f>
        <v>0</v>
      </c>
      <c r="Y151" s="529">
        <f>cs.Oth.FringeTot + cs.GRABenefitsToT + cs.GRA.TutionTot</f>
        <v>0</v>
      </c>
      <c r="Z151" s="426"/>
      <c r="AA151" s="692" t="s">
        <v>204</v>
      </c>
      <c r="AB151" s="692"/>
      <c r="AC151" s="692"/>
      <c r="AD151" s="692"/>
      <c r="AE151" s="692"/>
      <c r="AF151" s="692"/>
      <c r="AG151" s="692"/>
      <c r="AH151" s="692"/>
      <c r="AI151" s="692"/>
      <c r="AJ151" s="692"/>
      <c r="AK151" s="692"/>
      <c r="AL151" s="692"/>
      <c r="AM151" s="692"/>
      <c r="AN151" s="692"/>
      <c r="AO151" s="693"/>
    </row>
    <row r="152" spans="2:41" ht="57" customHeight="1" thickBot="1" x14ac:dyDescent="0.35">
      <c r="B152" s="665" t="s">
        <v>205</v>
      </c>
      <c r="C152" s="665"/>
      <c r="D152" s="665"/>
      <c r="E152" s="665"/>
      <c r="F152" s="665"/>
      <c r="G152" s="665"/>
      <c r="H152" s="665"/>
      <c r="I152" s="665"/>
      <c r="J152" s="665"/>
      <c r="K152" s="665"/>
      <c r="L152" s="665"/>
      <c r="M152" s="665"/>
      <c r="N152" s="665"/>
      <c r="O152" s="665"/>
      <c r="P152" s="665"/>
      <c r="Q152" s="665"/>
      <c r="R152" s="665"/>
      <c r="S152" s="665"/>
      <c r="T152" s="665"/>
      <c r="U152" s="237"/>
      <c r="V152" s="666" t="s">
        <v>205</v>
      </c>
      <c r="W152" s="666"/>
      <c r="X152" s="666"/>
      <c r="Y152" s="666"/>
      <c r="Z152" s="666"/>
      <c r="AA152" s="666"/>
      <c r="AB152" s="666"/>
      <c r="AC152" s="666"/>
      <c r="AD152" s="666"/>
      <c r="AE152" s="666"/>
      <c r="AF152" s="666"/>
      <c r="AG152" s="666"/>
      <c r="AH152" s="666"/>
      <c r="AI152" s="666"/>
      <c r="AJ152" s="666"/>
      <c r="AK152" s="666"/>
      <c r="AL152" s="666"/>
      <c r="AM152" s="666"/>
      <c r="AN152" s="666"/>
      <c r="AO152" s="666"/>
    </row>
    <row r="153" spans="2:41" ht="27.75" customHeight="1" thickTop="1" x14ac:dyDescent="0.25">
      <c r="B153" s="774" t="s">
        <v>206</v>
      </c>
      <c r="C153" s="774"/>
      <c r="D153" s="774" t="s">
        <v>207</v>
      </c>
      <c r="E153" s="774"/>
      <c r="F153" s="774"/>
      <c r="G153" s="774"/>
      <c r="H153" s="774"/>
      <c r="I153" s="427"/>
      <c r="J153" s="502"/>
      <c r="K153" s="775"/>
      <c r="L153" s="775"/>
      <c r="M153" s="775"/>
      <c r="N153" s="775"/>
      <c r="O153" s="775"/>
      <c r="P153" s="775"/>
      <c r="Q153" s="64" t="s">
        <v>123</v>
      </c>
      <c r="R153" s="64" t="s">
        <v>124</v>
      </c>
      <c r="S153" s="64" t="s">
        <v>125</v>
      </c>
      <c r="T153" s="428" t="s">
        <v>110</v>
      </c>
      <c r="U153" s="371"/>
      <c r="V153" s="67" t="s">
        <v>123</v>
      </c>
      <c r="W153" s="67" t="s">
        <v>124</v>
      </c>
      <c r="X153" s="67" t="s">
        <v>125</v>
      </c>
      <c r="Y153" s="430" t="s">
        <v>126</v>
      </c>
      <c r="Z153" s="431"/>
      <c r="AA153" s="18" t="s">
        <v>208</v>
      </c>
      <c r="AB153" s="18"/>
      <c r="AC153" s="18"/>
      <c r="AD153" s="18"/>
      <c r="AE153" s="18"/>
      <c r="AF153" s="18"/>
      <c r="AG153" s="18"/>
      <c r="AH153" s="18"/>
      <c r="AI153" s="18"/>
      <c r="AJ153" s="18"/>
      <c r="AK153" s="18"/>
      <c r="AL153" s="18"/>
      <c r="AM153" s="18"/>
      <c r="AN153" s="18"/>
      <c r="AO153" s="159"/>
    </row>
    <row r="154" spans="2:41" ht="30" customHeight="1" x14ac:dyDescent="0.25">
      <c r="B154" s="780"/>
      <c r="C154" s="780"/>
      <c r="D154" s="647"/>
      <c r="E154" s="648"/>
      <c r="F154" s="648"/>
      <c r="G154" s="648"/>
      <c r="H154" s="648"/>
      <c r="I154" s="649"/>
      <c r="J154" s="170"/>
      <c r="K154" s="776"/>
      <c r="L154" s="776"/>
      <c r="M154" s="776"/>
      <c r="N154" s="776"/>
      <c r="O154" s="776"/>
      <c r="P154" s="776"/>
      <c r="Q154" s="273"/>
      <c r="R154" s="273"/>
      <c r="S154" s="273"/>
      <c r="T154" s="81">
        <f>SUM(Q154:S154)</f>
        <v>0</v>
      </c>
      <c r="U154" s="371">
        <f t="shared" ref="U154:U159" si="66">T154+Y154</f>
        <v>0</v>
      </c>
      <c r="V154" s="274"/>
      <c r="W154" s="273"/>
      <c r="X154" s="273"/>
      <c r="Y154" s="247">
        <f t="shared" ref="Y154:Y159" si="67">SUM(V154:X154)</f>
        <v>0</v>
      </c>
      <c r="AA154" s="777"/>
      <c r="AB154" s="778"/>
      <c r="AC154" s="778"/>
      <c r="AD154" s="778"/>
      <c r="AE154" s="778"/>
      <c r="AF154" s="778"/>
      <c r="AG154" s="778"/>
      <c r="AH154" s="778"/>
      <c r="AI154" s="778"/>
      <c r="AJ154" s="779"/>
      <c r="AK154" s="201"/>
      <c r="AL154" s="201"/>
      <c r="AM154" s="201"/>
      <c r="AN154" s="201"/>
      <c r="AO154" s="159"/>
    </row>
    <row r="155" spans="2:41" ht="30" hidden="1" customHeight="1" outlineLevel="1" x14ac:dyDescent="0.25">
      <c r="B155" s="780"/>
      <c r="C155" s="780"/>
      <c r="D155" s="647"/>
      <c r="E155" s="648"/>
      <c r="F155" s="648"/>
      <c r="G155" s="648"/>
      <c r="H155" s="648"/>
      <c r="I155" s="649"/>
      <c r="J155" s="170"/>
      <c r="K155" s="776"/>
      <c r="L155" s="776"/>
      <c r="M155" s="776"/>
      <c r="N155" s="776"/>
      <c r="O155" s="776"/>
      <c r="P155" s="776"/>
      <c r="Q155" s="273"/>
      <c r="R155" s="273"/>
      <c r="S155" s="273"/>
      <c r="T155" s="81">
        <f>SUM(Q155:S155)</f>
        <v>0</v>
      </c>
      <c r="U155" s="371">
        <f t="shared" si="66"/>
        <v>0</v>
      </c>
      <c r="V155" s="274"/>
      <c r="W155" s="273"/>
      <c r="X155" s="273"/>
      <c r="Y155" s="247">
        <f t="shared" si="67"/>
        <v>0</v>
      </c>
      <c r="AA155" s="777"/>
      <c r="AB155" s="778"/>
      <c r="AC155" s="778"/>
      <c r="AD155" s="778"/>
      <c r="AE155" s="778"/>
      <c r="AF155" s="778"/>
      <c r="AG155" s="778"/>
      <c r="AH155" s="778"/>
      <c r="AI155" s="778"/>
      <c r="AJ155" s="779"/>
      <c r="AK155" s="201"/>
      <c r="AL155" s="201"/>
      <c r="AM155" s="201"/>
      <c r="AN155" s="34"/>
      <c r="AO155" s="159"/>
    </row>
    <row r="156" spans="2:41" ht="30" hidden="1" customHeight="1" outlineLevel="1" x14ac:dyDescent="0.25">
      <c r="B156" s="780"/>
      <c r="C156" s="780"/>
      <c r="D156" s="647"/>
      <c r="E156" s="648"/>
      <c r="F156" s="648"/>
      <c r="G156" s="648"/>
      <c r="H156" s="648"/>
      <c r="I156" s="649"/>
      <c r="J156" s="170"/>
      <c r="K156" s="776"/>
      <c r="L156" s="776"/>
      <c r="M156" s="776"/>
      <c r="N156" s="776"/>
      <c r="O156" s="776"/>
      <c r="P156" s="776"/>
      <c r="Q156" s="273"/>
      <c r="R156" s="273"/>
      <c r="S156" s="273"/>
      <c r="T156" s="81">
        <f>SUM(Q156:S156)</f>
        <v>0</v>
      </c>
      <c r="U156" s="371">
        <f t="shared" si="66"/>
        <v>0</v>
      </c>
      <c r="V156" s="274"/>
      <c r="W156" s="273"/>
      <c r="X156" s="273"/>
      <c r="Y156" s="247">
        <f t="shared" si="67"/>
        <v>0</v>
      </c>
      <c r="AA156" s="777"/>
      <c r="AB156" s="778"/>
      <c r="AC156" s="778"/>
      <c r="AD156" s="778"/>
      <c r="AE156" s="778"/>
      <c r="AF156" s="778"/>
      <c r="AG156" s="778"/>
      <c r="AH156" s="778"/>
      <c r="AI156" s="778"/>
      <c r="AJ156" s="779"/>
      <c r="AK156" s="201"/>
      <c r="AL156" s="201"/>
      <c r="AM156" s="201"/>
      <c r="AN156" s="201"/>
      <c r="AO156" s="159"/>
    </row>
    <row r="157" spans="2:41" ht="30" hidden="1" customHeight="1" outlineLevel="1" x14ac:dyDescent="0.25">
      <c r="B157" s="780"/>
      <c r="C157" s="780"/>
      <c r="D157" s="647"/>
      <c r="E157" s="648"/>
      <c r="F157" s="648"/>
      <c r="G157" s="648"/>
      <c r="H157" s="648"/>
      <c r="I157" s="649"/>
      <c r="J157" s="170"/>
      <c r="K157" s="776"/>
      <c r="L157" s="776"/>
      <c r="M157" s="776"/>
      <c r="N157" s="776"/>
      <c r="O157" s="776"/>
      <c r="P157" s="776"/>
      <c r="Q157" s="273"/>
      <c r="R157" s="273"/>
      <c r="S157" s="273"/>
      <c r="T157" s="81">
        <f>SUM(Q157:S157)</f>
        <v>0</v>
      </c>
      <c r="U157" s="371">
        <f t="shared" si="66"/>
        <v>0</v>
      </c>
      <c r="V157" s="274"/>
      <c r="W157" s="273"/>
      <c r="X157" s="273"/>
      <c r="Y157" s="247">
        <f t="shared" si="67"/>
        <v>0</v>
      </c>
      <c r="AA157" s="777"/>
      <c r="AB157" s="778"/>
      <c r="AC157" s="778"/>
      <c r="AD157" s="778"/>
      <c r="AE157" s="778"/>
      <c r="AF157" s="778"/>
      <c r="AG157" s="778"/>
      <c r="AH157" s="778"/>
      <c r="AI157" s="778"/>
      <c r="AJ157" s="779"/>
      <c r="AK157" s="201"/>
      <c r="AL157" s="201"/>
      <c r="AM157" s="201"/>
      <c r="AN157" s="201"/>
      <c r="AO157" s="159"/>
    </row>
    <row r="158" spans="2:41" ht="30" hidden="1" customHeight="1" outlineLevel="1" x14ac:dyDescent="0.25">
      <c r="B158" s="780"/>
      <c r="C158" s="780"/>
      <c r="D158" s="647"/>
      <c r="E158" s="648"/>
      <c r="F158" s="648"/>
      <c r="G158" s="648"/>
      <c r="H158" s="648"/>
      <c r="I158" s="649"/>
      <c r="J158" s="170"/>
      <c r="K158" s="776"/>
      <c r="L158" s="776"/>
      <c r="M158" s="776"/>
      <c r="N158" s="776"/>
      <c r="O158" s="776"/>
      <c r="P158" s="776"/>
      <c r="Q158" s="273"/>
      <c r="R158" s="273"/>
      <c r="S158" s="273"/>
      <c r="T158" s="81">
        <f>SUM(Q158:S158)</f>
        <v>0</v>
      </c>
      <c r="U158" s="371">
        <f t="shared" si="66"/>
        <v>0</v>
      </c>
      <c r="V158" s="274"/>
      <c r="W158" s="273"/>
      <c r="X158" s="273"/>
      <c r="Y158" s="247">
        <f t="shared" si="67"/>
        <v>0</v>
      </c>
      <c r="AA158" s="777"/>
      <c r="AB158" s="778"/>
      <c r="AC158" s="778"/>
      <c r="AD158" s="778"/>
      <c r="AE158" s="778"/>
      <c r="AF158" s="778"/>
      <c r="AG158" s="778"/>
      <c r="AH158" s="778"/>
      <c r="AI158" s="778"/>
      <c r="AJ158" s="779"/>
      <c r="AK158" s="201"/>
      <c r="AL158" s="201"/>
      <c r="AM158" s="201"/>
      <c r="AN158" s="201"/>
      <c r="AO158" s="159"/>
    </row>
    <row r="159" spans="2:41" ht="40.5" customHeight="1" collapsed="1" thickBot="1" x14ac:dyDescent="0.3">
      <c r="B159" s="691" t="s">
        <v>209</v>
      </c>
      <c r="C159" s="691"/>
      <c r="D159" s="691"/>
      <c r="E159" s="691"/>
      <c r="F159" s="691"/>
      <c r="G159" s="691"/>
      <c r="H159" s="691"/>
      <c r="I159" s="691"/>
      <c r="J159" s="404"/>
      <c r="K159" s="404"/>
      <c r="L159" s="404"/>
      <c r="M159" s="404"/>
      <c r="N159" s="404"/>
      <c r="O159" s="404"/>
      <c r="P159" s="404"/>
      <c r="Q159" s="432">
        <f>SUM(Q154:Q158)</f>
        <v>0</v>
      </c>
      <c r="R159" s="432">
        <f>SUM(R154:R158)</f>
        <v>0</v>
      </c>
      <c r="S159" s="433">
        <f>SUM(S154:S157)</f>
        <v>0</v>
      </c>
      <c r="T159" s="434">
        <f>SUM(T154:T158)</f>
        <v>0</v>
      </c>
      <c r="U159" s="375">
        <f t="shared" si="66"/>
        <v>0</v>
      </c>
      <c r="V159" s="530">
        <f>SUM(V154:V158)</f>
        <v>0</v>
      </c>
      <c r="W159" s="531">
        <f>SUM(W154:W158)</f>
        <v>0</v>
      </c>
      <c r="X159" s="531">
        <f>SUM(X154:X158)</f>
        <v>0</v>
      </c>
      <c r="Y159" s="532">
        <f t="shared" si="67"/>
        <v>0</v>
      </c>
      <c r="Z159" s="426"/>
      <c r="AA159" s="692" t="s">
        <v>209</v>
      </c>
      <c r="AB159" s="692"/>
      <c r="AC159" s="692"/>
      <c r="AD159" s="692"/>
      <c r="AE159" s="692"/>
      <c r="AF159" s="692"/>
      <c r="AG159" s="692"/>
      <c r="AH159" s="692"/>
      <c r="AI159" s="692"/>
      <c r="AJ159" s="692"/>
      <c r="AK159" s="692"/>
      <c r="AL159" s="692"/>
      <c r="AM159" s="692"/>
      <c r="AN159" s="692"/>
      <c r="AO159" s="693"/>
    </row>
    <row r="160" spans="2:41" ht="52.5" customHeight="1" thickBot="1" x14ac:dyDescent="0.35">
      <c r="B160" s="665" t="s">
        <v>210</v>
      </c>
      <c r="C160" s="665"/>
      <c r="D160" s="665"/>
      <c r="E160" s="665"/>
      <c r="F160" s="665"/>
      <c r="G160" s="665"/>
      <c r="H160" s="665"/>
      <c r="I160" s="665"/>
      <c r="J160" s="665"/>
      <c r="K160" s="665"/>
      <c r="L160" s="665"/>
      <c r="M160" s="665"/>
      <c r="N160" s="665"/>
      <c r="O160" s="665"/>
      <c r="P160" s="665"/>
      <c r="Q160" s="665"/>
      <c r="R160" s="665"/>
      <c r="S160" s="665"/>
      <c r="T160" s="665"/>
      <c r="U160" s="237"/>
      <c r="V160" s="666" t="s">
        <v>210</v>
      </c>
      <c r="W160" s="666"/>
      <c r="X160" s="666"/>
      <c r="Y160" s="666"/>
      <c r="Z160" s="666"/>
      <c r="AA160" s="666"/>
      <c r="AB160" s="666"/>
      <c r="AC160" s="666"/>
      <c r="AD160" s="666"/>
      <c r="AE160" s="666"/>
      <c r="AF160" s="666"/>
      <c r="AG160" s="666"/>
      <c r="AH160" s="666"/>
      <c r="AI160" s="666"/>
      <c r="AJ160" s="666"/>
      <c r="AK160" s="666"/>
      <c r="AL160" s="666"/>
      <c r="AM160" s="666"/>
      <c r="AN160" s="666"/>
      <c r="AO160" s="666"/>
    </row>
    <row r="161" spans="2:42" ht="27.75" thickTop="1" x14ac:dyDescent="0.25">
      <c r="B161" s="760" t="s">
        <v>211</v>
      </c>
      <c r="C161" s="760"/>
      <c r="D161" s="761" t="s">
        <v>207</v>
      </c>
      <c r="E161" s="714"/>
      <c r="F161" s="714"/>
      <c r="G161" s="714"/>
      <c r="H161" s="714"/>
      <c r="I161" s="714"/>
      <c r="J161" s="714"/>
      <c r="K161" s="714"/>
      <c r="L161" s="714"/>
      <c r="M161" s="714"/>
      <c r="N161" s="714"/>
      <c r="O161" s="328"/>
      <c r="P161" s="714"/>
      <c r="Q161" s="437" t="s">
        <v>123</v>
      </c>
      <c r="R161" s="369" t="s">
        <v>124</v>
      </c>
      <c r="S161" s="369" t="s">
        <v>125</v>
      </c>
      <c r="T161" s="438" t="s">
        <v>110</v>
      </c>
      <c r="U161" s="371"/>
      <c r="V161" s="439" t="s">
        <v>123</v>
      </c>
      <c r="W161" s="372" t="s">
        <v>124</v>
      </c>
      <c r="X161" s="372" t="s">
        <v>125</v>
      </c>
      <c r="Y161" s="373" t="s">
        <v>126</v>
      </c>
      <c r="Z161" s="440"/>
      <c r="AA161" s="190" t="s">
        <v>211</v>
      </c>
      <c r="AB161" s="191"/>
      <c r="AC161" s="763"/>
      <c r="AD161" s="764"/>
      <c r="AE161" s="764"/>
      <c r="AF161" s="764"/>
      <c r="AG161" s="764"/>
      <c r="AH161" s="764"/>
      <c r="AI161" s="764"/>
      <c r="AJ161" s="765"/>
      <c r="AM161" s="34"/>
      <c r="AN161" s="34"/>
      <c r="AO161" s="202"/>
    </row>
    <row r="162" spans="2:42" ht="25.5" customHeight="1" x14ac:dyDescent="0.25">
      <c r="B162" s="741" t="s">
        <v>212</v>
      </c>
      <c r="C162" s="741"/>
      <c r="D162" s="754"/>
      <c r="E162" s="755"/>
      <c r="F162" s="755"/>
      <c r="G162" s="755"/>
      <c r="H162" s="755"/>
      <c r="I162" s="756"/>
      <c r="J162" s="217"/>
      <c r="K162" s="217"/>
      <c r="L162" s="217"/>
      <c r="M162" s="217"/>
      <c r="N162" s="217"/>
      <c r="O162" s="217"/>
      <c r="P162" s="762"/>
      <c r="Q162" s="490"/>
      <c r="R162" s="275"/>
      <c r="S162" s="275"/>
      <c r="T162" s="717">
        <f>SUM(Q162:Q164,R162:R164,S162:S164)</f>
        <v>0</v>
      </c>
      <c r="U162" s="719">
        <f>DomesticTravelTOT+Y162</f>
        <v>0</v>
      </c>
      <c r="V162" s="288"/>
      <c r="W162" s="288"/>
      <c r="X162" s="288"/>
      <c r="Y162" s="767">
        <f>SUM(V162:V164,W162:W164,X162:X164)</f>
        <v>0</v>
      </c>
      <c r="Z162" s="219"/>
      <c r="AA162" s="185" t="s">
        <v>212</v>
      </c>
      <c r="AB162" s="186"/>
      <c r="AC162" s="699"/>
      <c r="AD162" s="750"/>
      <c r="AE162" s="750"/>
      <c r="AF162" s="750"/>
      <c r="AG162" s="750"/>
      <c r="AH162" s="750"/>
      <c r="AI162" s="750"/>
      <c r="AJ162" s="700"/>
      <c r="AK162" s="36"/>
      <c r="AL162" s="36"/>
      <c r="AM162" s="36"/>
      <c r="AN162" s="36"/>
      <c r="AO162" s="159"/>
    </row>
    <row r="163" spans="2:42" ht="25.5" customHeight="1" x14ac:dyDescent="0.25">
      <c r="B163" s="741"/>
      <c r="C163" s="741"/>
      <c r="D163" s="754"/>
      <c r="E163" s="755"/>
      <c r="F163" s="755"/>
      <c r="G163" s="755"/>
      <c r="H163" s="755"/>
      <c r="I163" s="756"/>
      <c r="J163" s="217"/>
      <c r="K163" s="329"/>
      <c r="L163" s="217"/>
      <c r="M163" s="217"/>
      <c r="N163" s="217"/>
      <c r="O163" s="217"/>
      <c r="P163" s="762"/>
      <c r="Q163" s="490"/>
      <c r="R163" s="275"/>
      <c r="S163" s="275"/>
      <c r="T163" s="717"/>
      <c r="U163" s="719"/>
      <c r="V163" s="280"/>
      <c r="W163" s="280"/>
      <c r="X163" s="280"/>
      <c r="Y163" s="745"/>
      <c r="Z163" s="219"/>
      <c r="AA163" s="150"/>
      <c r="AB163" s="188"/>
      <c r="AC163" s="699"/>
      <c r="AD163" s="750"/>
      <c r="AE163" s="750"/>
      <c r="AF163" s="750"/>
      <c r="AG163" s="750"/>
      <c r="AH163" s="750"/>
      <c r="AI163" s="750"/>
      <c r="AJ163" s="700"/>
      <c r="AK163" s="36"/>
      <c r="AL163" s="36"/>
      <c r="AM163" s="36"/>
      <c r="AN163" s="36"/>
      <c r="AO163" s="159"/>
    </row>
    <row r="164" spans="2:42" ht="25.5" customHeight="1" thickBot="1" x14ac:dyDescent="0.3">
      <c r="B164" s="766"/>
      <c r="C164" s="766"/>
      <c r="D164" s="771"/>
      <c r="E164" s="772"/>
      <c r="F164" s="772"/>
      <c r="G164" s="772"/>
      <c r="H164" s="772"/>
      <c r="I164" s="773"/>
      <c r="J164" s="217"/>
      <c r="K164" s="217"/>
      <c r="L164" s="217"/>
      <c r="M164" s="217"/>
      <c r="N164" s="217"/>
      <c r="O164" s="217"/>
      <c r="P164" s="762"/>
      <c r="Q164" s="522"/>
      <c r="R164" s="277"/>
      <c r="S164" s="277"/>
      <c r="T164" s="718"/>
      <c r="U164" s="719"/>
      <c r="V164" s="281"/>
      <c r="W164" s="281"/>
      <c r="X164" s="281"/>
      <c r="Y164" s="745"/>
      <c r="Z164" s="219"/>
      <c r="AA164" s="218"/>
      <c r="AB164" s="189"/>
      <c r="AC164" s="768"/>
      <c r="AD164" s="769"/>
      <c r="AE164" s="769"/>
      <c r="AF164" s="769"/>
      <c r="AG164" s="769"/>
      <c r="AH164" s="769"/>
      <c r="AI164" s="769"/>
      <c r="AJ164" s="770"/>
      <c r="AK164" s="36"/>
      <c r="AL164" s="36"/>
      <c r="AM164" s="36"/>
      <c r="AN164" s="36"/>
      <c r="AO164" s="159"/>
    </row>
    <row r="165" spans="2:42" ht="25.5" customHeight="1" x14ac:dyDescent="0.25">
      <c r="B165" s="740" t="s">
        <v>213</v>
      </c>
      <c r="C165" s="740"/>
      <c r="D165" s="757"/>
      <c r="E165" s="758"/>
      <c r="F165" s="758"/>
      <c r="G165" s="758"/>
      <c r="H165" s="758"/>
      <c r="I165" s="759"/>
      <c r="J165" s="217"/>
      <c r="K165" s="217"/>
      <c r="L165" s="217"/>
      <c r="M165" s="217"/>
      <c r="N165" s="217"/>
      <c r="O165" s="217"/>
      <c r="P165" s="742"/>
      <c r="Q165" s="493"/>
      <c r="R165" s="279"/>
      <c r="S165" s="279"/>
      <c r="T165" s="743">
        <f>SUM(Q165:Q167,R165:R167,S165:S167)</f>
        <v>0</v>
      </c>
      <c r="U165" s="719">
        <f>InternatTravelTOT+Y165</f>
        <v>0</v>
      </c>
      <c r="V165" s="289"/>
      <c r="W165" s="290"/>
      <c r="X165" s="290"/>
      <c r="Y165" s="744">
        <f>SUM(V165:V167,W165:W167,X165:X167)</f>
        <v>0</v>
      </c>
      <c r="Z165" s="219"/>
      <c r="AA165" s="36" t="s">
        <v>213</v>
      </c>
      <c r="AB165" s="187"/>
      <c r="AC165" s="747"/>
      <c r="AD165" s="748"/>
      <c r="AE165" s="748"/>
      <c r="AF165" s="748"/>
      <c r="AG165" s="748"/>
      <c r="AH165" s="748"/>
      <c r="AI165" s="748"/>
      <c r="AJ165" s="749"/>
      <c r="AK165" s="36"/>
      <c r="AL165" s="36"/>
      <c r="AM165" s="36"/>
      <c r="AN165" s="36"/>
      <c r="AO165" s="159"/>
    </row>
    <row r="166" spans="2:42" ht="25.5" customHeight="1" x14ac:dyDescent="0.25">
      <c r="B166" s="741"/>
      <c r="C166" s="741"/>
      <c r="D166" s="754"/>
      <c r="E166" s="755"/>
      <c r="F166" s="755"/>
      <c r="G166" s="755"/>
      <c r="H166" s="755"/>
      <c r="I166" s="756"/>
      <c r="J166" s="217"/>
      <c r="K166" s="217"/>
      <c r="L166" s="217"/>
      <c r="M166" s="217"/>
      <c r="N166" s="217"/>
      <c r="O166" s="217"/>
      <c r="P166" s="742"/>
      <c r="Q166" s="491"/>
      <c r="R166" s="279"/>
      <c r="S166" s="279"/>
      <c r="T166" s="717"/>
      <c r="U166" s="719"/>
      <c r="V166" s="280"/>
      <c r="W166" s="273"/>
      <c r="X166" s="273"/>
      <c r="Y166" s="745"/>
      <c r="Z166" s="219"/>
      <c r="AA166" s="150"/>
      <c r="AB166" s="188"/>
      <c r="AC166" s="699"/>
      <c r="AD166" s="750"/>
      <c r="AE166" s="750"/>
      <c r="AF166" s="750"/>
      <c r="AG166" s="750"/>
      <c r="AH166" s="750"/>
      <c r="AI166" s="750"/>
      <c r="AJ166" s="700"/>
      <c r="AK166" s="36"/>
      <c r="AL166" s="36"/>
      <c r="AM166" s="36"/>
      <c r="AN166" s="36"/>
      <c r="AO166" s="159"/>
    </row>
    <row r="167" spans="2:42" ht="25.5" customHeight="1" x14ac:dyDescent="0.25">
      <c r="B167" s="741"/>
      <c r="C167" s="741"/>
      <c r="D167" s="754"/>
      <c r="E167" s="755"/>
      <c r="F167" s="755"/>
      <c r="G167" s="755"/>
      <c r="H167" s="755"/>
      <c r="I167" s="756"/>
      <c r="J167" s="217"/>
      <c r="K167" s="217"/>
      <c r="L167" s="217"/>
      <c r="M167" s="217"/>
      <c r="N167" s="217"/>
      <c r="O167" s="217"/>
      <c r="P167" s="742"/>
      <c r="Q167" s="491"/>
      <c r="R167" s="279"/>
      <c r="S167" s="279"/>
      <c r="T167" s="717"/>
      <c r="U167" s="719"/>
      <c r="V167" s="280"/>
      <c r="W167" s="273"/>
      <c r="X167" s="273"/>
      <c r="Y167" s="746"/>
      <c r="Z167" s="219"/>
      <c r="AB167" s="20"/>
      <c r="AC167" s="751"/>
      <c r="AD167" s="752"/>
      <c r="AE167" s="752"/>
      <c r="AF167" s="752"/>
      <c r="AG167" s="752"/>
      <c r="AH167" s="752"/>
      <c r="AI167" s="752"/>
      <c r="AJ167" s="753"/>
      <c r="AK167" s="36"/>
      <c r="AL167" s="36"/>
      <c r="AM167" s="36"/>
      <c r="AN167" s="36"/>
      <c r="AO167" s="159"/>
    </row>
    <row r="168" spans="2:42" ht="39.75" customHeight="1" thickBot="1" x14ac:dyDescent="0.3">
      <c r="B168" s="691" t="s">
        <v>214</v>
      </c>
      <c r="C168" s="691"/>
      <c r="D168" s="691"/>
      <c r="E168" s="691"/>
      <c r="F168" s="691"/>
      <c r="G168" s="691"/>
      <c r="H168" s="691"/>
      <c r="I168" s="691"/>
      <c r="J168" s="404"/>
      <c r="K168" s="404"/>
      <c r="L168" s="404"/>
      <c r="M168" s="404"/>
      <c r="N168" s="404"/>
      <c r="O168" s="404"/>
      <c r="P168" s="404"/>
      <c r="Q168" s="441">
        <f>SUM(Q162:Q164,Q165:Q167)</f>
        <v>0</v>
      </c>
      <c r="R168" s="441">
        <f>SUM(R162:R164,R165:R167)</f>
        <v>0</v>
      </c>
      <c r="S168" s="442">
        <f>SUM(S162:S164,S165:S167)</f>
        <v>0</v>
      </c>
      <c r="T168" s="443">
        <f>SUM(DomesticTravelTOT,InternatTravelTOT)</f>
        <v>0</v>
      </c>
      <c r="U168" s="371">
        <f>TravelTOT+Y168</f>
        <v>0</v>
      </c>
      <c r="V168" s="530">
        <f>SUM(V162:V167)</f>
        <v>0</v>
      </c>
      <c r="W168" s="531">
        <f>SUM(W162:W167)</f>
        <v>0</v>
      </c>
      <c r="X168" s="531">
        <f>SUM(X162:X167)</f>
        <v>0</v>
      </c>
      <c r="Y168" s="532">
        <f>SUM(V168:X168)</f>
        <v>0</v>
      </c>
      <c r="Z168" s="426"/>
      <c r="AA168" s="692" t="s">
        <v>214</v>
      </c>
      <c r="AB168" s="692"/>
      <c r="AC168" s="692"/>
      <c r="AD168" s="692"/>
      <c r="AE168" s="692"/>
      <c r="AF168" s="692"/>
      <c r="AG168" s="692"/>
      <c r="AH168" s="692"/>
      <c r="AI168" s="692"/>
      <c r="AJ168" s="692"/>
      <c r="AK168" s="692"/>
      <c r="AL168" s="692"/>
      <c r="AM168" s="692"/>
      <c r="AN168" s="692"/>
      <c r="AO168" s="693"/>
      <c r="AP168" s="40"/>
    </row>
    <row r="169" spans="2:42" ht="52.5" customHeight="1" thickBot="1" x14ac:dyDescent="0.35">
      <c r="B169" s="665" t="s">
        <v>215</v>
      </c>
      <c r="C169" s="665"/>
      <c r="D169" s="665"/>
      <c r="E169" s="665"/>
      <c r="F169" s="665"/>
      <c r="G169" s="665"/>
      <c r="H169" s="665"/>
      <c r="I169" s="733"/>
      <c r="J169" s="665"/>
      <c r="K169" s="665"/>
      <c r="L169" s="665"/>
      <c r="M169" s="665"/>
      <c r="N169" s="665"/>
      <c r="O169" s="665"/>
      <c r="P169" s="665"/>
      <c r="Q169" s="665"/>
      <c r="R169" s="665"/>
      <c r="S169" s="665"/>
      <c r="T169" s="665"/>
      <c r="U169" s="237"/>
      <c r="V169" s="666" t="s">
        <v>215</v>
      </c>
      <c r="W169" s="666"/>
      <c r="X169" s="666"/>
      <c r="Y169" s="666"/>
      <c r="Z169" s="666"/>
      <c r="AA169" s="666"/>
      <c r="AB169" s="666"/>
      <c r="AC169" s="666"/>
      <c r="AD169" s="666"/>
      <c r="AE169" s="666"/>
      <c r="AF169" s="666"/>
      <c r="AG169" s="666"/>
      <c r="AH169" s="666"/>
      <c r="AI169" s="666"/>
      <c r="AJ169" s="666"/>
      <c r="AK169" s="666"/>
      <c r="AL169" s="666"/>
      <c r="AM169" s="666"/>
      <c r="AN169" s="666"/>
      <c r="AO169" s="666"/>
    </row>
    <row r="170" spans="2:42" ht="62.25" customHeight="1" thickTop="1" x14ac:dyDescent="0.3">
      <c r="B170" s="739" t="s">
        <v>216</v>
      </c>
      <c r="C170" s="739"/>
      <c r="D170" s="739"/>
      <c r="E170" s="739"/>
      <c r="F170" s="63" t="s">
        <v>217</v>
      </c>
      <c r="G170" s="63" t="s">
        <v>218</v>
      </c>
      <c r="H170" s="63" t="s">
        <v>219</v>
      </c>
      <c r="I170" s="63" t="s">
        <v>220</v>
      </c>
      <c r="J170"/>
      <c r="K170" s="51"/>
      <c r="L170" s="51"/>
      <c r="M170" s="51"/>
      <c r="N170" s="51"/>
      <c r="O170" s="51"/>
      <c r="P170" s="51"/>
      <c r="Q170" s="64" t="s">
        <v>123</v>
      </c>
      <c r="R170" s="64" t="s">
        <v>124</v>
      </c>
      <c r="S170" s="64" t="s">
        <v>125</v>
      </c>
      <c r="T170" s="444" t="s">
        <v>110</v>
      </c>
      <c r="U170" s="371"/>
      <c r="V170" s="78" t="s">
        <v>123</v>
      </c>
      <c r="W170" s="67" t="s">
        <v>124</v>
      </c>
      <c r="X170" s="77" t="s">
        <v>125</v>
      </c>
      <c r="Y170" s="445" t="s">
        <v>126</v>
      </c>
      <c r="Z170" s="431"/>
      <c r="AA170" s="183" t="s">
        <v>218</v>
      </c>
      <c r="AB170" s="183" t="s">
        <v>219</v>
      </c>
      <c r="AC170" s="183" t="s">
        <v>220</v>
      </c>
      <c r="AD170" s="734"/>
      <c r="AE170" s="735"/>
      <c r="AF170" s="735"/>
      <c r="AG170" s="63" t="s">
        <v>217</v>
      </c>
      <c r="AP170" s="52"/>
    </row>
    <row r="171" spans="2:42" ht="30" customHeight="1" x14ac:dyDescent="0.25">
      <c r="B171" s="736" t="s">
        <v>221</v>
      </c>
      <c r="C171" s="737"/>
      <c r="D171" s="737"/>
      <c r="E171" s="738"/>
      <c r="F171" s="275"/>
      <c r="G171" s="273"/>
      <c r="H171" s="273"/>
      <c r="I171" s="486"/>
      <c r="J171"/>
      <c r="K171" s="51"/>
      <c r="L171" s="51"/>
      <c r="M171" s="51"/>
      <c r="N171" s="51"/>
      <c r="O171" s="51"/>
      <c r="P171" s="51"/>
      <c r="Q171" s="39">
        <f t="shared" ref="Q171:S175" si="68">$F171*G171</f>
        <v>0</v>
      </c>
      <c r="R171" s="39">
        <f t="shared" si="68"/>
        <v>0</v>
      </c>
      <c r="S171" s="39">
        <f t="shared" si="68"/>
        <v>0</v>
      </c>
      <c r="T171" s="81">
        <f>SUM(Q171:S171)</f>
        <v>0</v>
      </c>
      <c r="U171" s="371">
        <f t="shared" ref="U171:U176" si="69">T171+Y171</f>
        <v>0</v>
      </c>
      <c r="V171" s="446">
        <f t="shared" ref="V171:X175" si="70">$AG171*AA171</f>
        <v>0</v>
      </c>
      <c r="W171" s="446">
        <f t="shared" si="70"/>
        <v>0</v>
      </c>
      <c r="X171" s="446">
        <f t="shared" si="70"/>
        <v>0</v>
      </c>
      <c r="Y171" s="447">
        <f t="shared" ref="Y171:Y176" si="71">SUM(V171:X171)</f>
        <v>0</v>
      </c>
      <c r="AA171" s="273"/>
      <c r="AB171" s="273"/>
      <c r="AC171" s="273"/>
      <c r="AD171" s="726" t="s">
        <v>221</v>
      </c>
      <c r="AE171" s="727"/>
      <c r="AF171" s="728"/>
      <c r="AG171" s="275"/>
      <c r="AP171" s="40"/>
    </row>
    <row r="172" spans="2:42" ht="30" hidden="1" customHeight="1" outlineLevel="1" x14ac:dyDescent="0.25">
      <c r="B172" s="730" t="s">
        <v>222</v>
      </c>
      <c r="C172" s="731"/>
      <c r="D172" s="731"/>
      <c r="E172" s="732"/>
      <c r="F172" s="275"/>
      <c r="G172" s="273"/>
      <c r="H172" s="273"/>
      <c r="I172" s="486"/>
      <c r="J172"/>
      <c r="K172" s="51"/>
      <c r="L172" s="51"/>
      <c r="M172" s="51"/>
      <c r="N172" s="51"/>
      <c r="O172" s="51"/>
      <c r="P172" s="51"/>
      <c r="Q172" s="39">
        <f t="shared" si="68"/>
        <v>0</v>
      </c>
      <c r="R172" s="39">
        <f t="shared" si="68"/>
        <v>0</v>
      </c>
      <c r="S172" s="39">
        <f t="shared" si="68"/>
        <v>0</v>
      </c>
      <c r="T172" s="81">
        <f>SUM(Q172:S172)</f>
        <v>0</v>
      </c>
      <c r="U172" s="371">
        <f t="shared" si="69"/>
        <v>0</v>
      </c>
      <c r="V172" s="446">
        <f t="shared" si="70"/>
        <v>0</v>
      </c>
      <c r="W172" s="446">
        <f t="shared" si="70"/>
        <v>0</v>
      </c>
      <c r="X172" s="446">
        <f t="shared" si="70"/>
        <v>0</v>
      </c>
      <c r="Y172" s="447">
        <f t="shared" si="71"/>
        <v>0</v>
      </c>
      <c r="AA172" s="273"/>
      <c r="AB172" s="273"/>
      <c r="AC172" s="273"/>
      <c r="AD172" s="726" t="s">
        <v>222</v>
      </c>
      <c r="AE172" s="727"/>
      <c r="AF172" s="728"/>
      <c r="AG172" s="275"/>
      <c r="AP172" s="40"/>
    </row>
    <row r="173" spans="2:42" ht="30" hidden="1" customHeight="1" outlineLevel="1" x14ac:dyDescent="0.25">
      <c r="B173" s="730" t="s">
        <v>223</v>
      </c>
      <c r="C173" s="731"/>
      <c r="D173" s="731"/>
      <c r="E173" s="732"/>
      <c r="F173" s="275"/>
      <c r="G173" s="273"/>
      <c r="H173" s="273"/>
      <c r="I173" s="486"/>
      <c r="J173"/>
      <c r="K173" s="51"/>
      <c r="L173" s="51"/>
      <c r="M173" s="51"/>
      <c r="N173" s="51"/>
      <c r="O173" s="51"/>
      <c r="P173" s="51"/>
      <c r="Q173" s="39">
        <f t="shared" si="68"/>
        <v>0</v>
      </c>
      <c r="R173" s="39">
        <f t="shared" si="68"/>
        <v>0</v>
      </c>
      <c r="S173" s="39">
        <f t="shared" si="68"/>
        <v>0</v>
      </c>
      <c r="T173" s="81">
        <f>SUM(Q173:S173)</f>
        <v>0</v>
      </c>
      <c r="U173" s="379">
        <f t="shared" si="69"/>
        <v>0</v>
      </c>
      <c r="V173" s="446">
        <f t="shared" si="70"/>
        <v>0</v>
      </c>
      <c r="W173" s="446">
        <f t="shared" si="70"/>
        <v>0</v>
      </c>
      <c r="X173" s="446">
        <f t="shared" si="70"/>
        <v>0</v>
      </c>
      <c r="Y173" s="447">
        <f t="shared" si="71"/>
        <v>0</v>
      </c>
      <c r="AA173" s="273"/>
      <c r="AB173" s="273"/>
      <c r="AC173" s="273"/>
      <c r="AD173" s="726" t="s">
        <v>223</v>
      </c>
      <c r="AE173" s="727"/>
      <c r="AF173" s="728"/>
      <c r="AG173" s="275"/>
      <c r="AP173" s="40"/>
    </row>
    <row r="174" spans="2:42" ht="30" hidden="1" customHeight="1" outlineLevel="1" x14ac:dyDescent="0.25">
      <c r="B174" s="730" t="s">
        <v>224</v>
      </c>
      <c r="C174" s="731"/>
      <c r="D174" s="731"/>
      <c r="E174" s="732"/>
      <c r="F174" s="275"/>
      <c r="G174" s="273"/>
      <c r="H174" s="273"/>
      <c r="I174" s="486"/>
      <c r="J174"/>
      <c r="K174" s="51"/>
      <c r="L174" s="51"/>
      <c r="M174" s="51"/>
      <c r="N174" s="51"/>
      <c r="O174" s="51"/>
      <c r="P174" s="51"/>
      <c r="Q174" s="39">
        <f t="shared" si="68"/>
        <v>0</v>
      </c>
      <c r="R174" s="39">
        <f t="shared" si="68"/>
        <v>0</v>
      </c>
      <c r="S174" s="39">
        <f t="shared" si="68"/>
        <v>0</v>
      </c>
      <c r="T174" s="81">
        <f>SUM(Q174:S174)</f>
        <v>0</v>
      </c>
      <c r="U174" s="371">
        <f t="shared" si="69"/>
        <v>0</v>
      </c>
      <c r="V174" s="446">
        <f t="shared" si="70"/>
        <v>0</v>
      </c>
      <c r="W174" s="446">
        <f t="shared" si="70"/>
        <v>0</v>
      </c>
      <c r="X174" s="446">
        <f t="shared" si="70"/>
        <v>0</v>
      </c>
      <c r="Y174" s="447">
        <f t="shared" si="71"/>
        <v>0</v>
      </c>
      <c r="AA174" s="273"/>
      <c r="AB174" s="273"/>
      <c r="AC174" s="273"/>
      <c r="AD174" s="726" t="s">
        <v>224</v>
      </c>
      <c r="AE174" s="727"/>
      <c r="AF174" s="728"/>
      <c r="AG174" s="275"/>
      <c r="AP174" s="40"/>
    </row>
    <row r="175" spans="2:42" ht="30" hidden="1" customHeight="1" outlineLevel="1" x14ac:dyDescent="0.25">
      <c r="B175" s="730" t="s">
        <v>225</v>
      </c>
      <c r="C175" s="731"/>
      <c r="D175" s="731"/>
      <c r="E175" s="732"/>
      <c r="F175" s="480"/>
      <c r="G175" s="282"/>
      <c r="H175" s="282"/>
      <c r="I175" s="487"/>
      <c r="J175"/>
      <c r="K175" s="51"/>
      <c r="L175" s="51"/>
      <c r="M175" s="51"/>
      <c r="N175" s="51"/>
      <c r="O175" s="51"/>
      <c r="P175" s="51"/>
      <c r="Q175" s="39">
        <f t="shared" si="68"/>
        <v>0</v>
      </c>
      <c r="R175" s="39">
        <f t="shared" si="68"/>
        <v>0</v>
      </c>
      <c r="S175" s="39">
        <f t="shared" si="68"/>
        <v>0</v>
      </c>
      <c r="T175" s="81">
        <f>SUM(Q175:S175)</f>
        <v>0</v>
      </c>
      <c r="U175" s="371">
        <f t="shared" si="69"/>
        <v>0</v>
      </c>
      <c r="V175" s="446">
        <f t="shared" si="70"/>
        <v>0</v>
      </c>
      <c r="W175" s="446">
        <f t="shared" si="70"/>
        <v>0</v>
      </c>
      <c r="X175" s="446">
        <f t="shared" si="70"/>
        <v>0</v>
      </c>
      <c r="Y175" s="447">
        <f t="shared" si="71"/>
        <v>0</v>
      </c>
      <c r="AA175" s="273"/>
      <c r="AB175" s="273"/>
      <c r="AC175" s="273"/>
      <c r="AD175" s="726" t="s">
        <v>225</v>
      </c>
      <c r="AE175" s="727"/>
      <c r="AF175" s="728"/>
      <c r="AG175" s="275"/>
      <c r="AP175" s="40"/>
    </row>
    <row r="176" spans="2:42" ht="40.5" customHeight="1" collapsed="1" thickBot="1" x14ac:dyDescent="0.3">
      <c r="B176" s="729" t="s">
        <v>226</v>
      </c>
      <c r="C176" s="729"/>
      <c r="D176" s="729"/>
      <c r="E176" s="729"/>
      <c r="F176" s="729"/>
      <c r="G176" s="729"/>
      <c r="H176" s="729"/>
      <c r="I176" s="729"/>
      <c r="J176" s="404"/>
      <c r="K176" s="404"/>
      <c r="L176" s="404"/>
      <c r="M176" s="404"/>
      <c r="N176" s="404"/>
      <c r="O176" s="404"/>
      <c r="P176" s="404"/>
      <c r="Q176" s="441">
        <f t="shared" ref="Q176:T176" si="72">SUM(Q171:Q175)</f>
        <v>0</v>
      </c>
      <c r="R176" s="441">
        <f t="shared" si="72"/>
        <v>0</v>
      </c>
      <c r="S176" s="443">
        <f t="shared" si="72"/>
        <v>0</v>
      </c>
      <c r="T176" s="443">
        <f t="shared" si="72"/>
        <v>0</v>
      </c>
      <c r="U176" s="371">
        <f t="shared" si="69"/>
        <v>0</v>
      </c>
      <c r="V176" s="448">
        <f>SUM(V171:V175)</f>
        <v>0</v>
      </c>
      <c r="W176" s="435">
        <f>SUM(W171:W175)</f>
        <v>0</v>
      </c>
      <c r="X176" s="435">
        <f>SUM(X171:X175)</f>
        <v>0</v>
      </c>
      <c r="Y176" s="436">
        <f t="shared" si="71"/>
        <v>0</v>
      </c>
      <c r="Z176" s="426"/>
      <c r="AA176" s="692" t="s">
        <v>226</v>
      </c>
      <c r="AB176" s="692"/>
      <c r="AC176" s="692"/>
      <c r="AD176" s="692"/>
      <c r="AE176" s="692"/>
      <c r="AF176" s="692"/>
      <c r="AG176" s="692"/>
      <c r="AH176" s="692"/>
      <c r="AI176" s="692"/>
      <c r="AJ176" s="692"/>
      <c r="AK176" s="692"/>
      <c r="AL176" s="692"/>
      <c r="AM176" s="692"/>
      <c r="AN176" s="692"/>
      <c r="AO176" s="693"/>
      <c r="AP176" s="40"/>
    </row>
    <row r="177" spans="1:41" ht="52.5" customHeight="1" thickBot="1" x14ac:dyDescent="0.3">
      <c r="B177" s="665" t="s">
        <v>227</v>
      </c>
      <c r="C177" s="665"/>
      <c r="D177" s="665"/>
      <c r="E177" s="665"/>
      <c r="F177" s="665"/>
      <c r="G177" s="665"/>
      <c r="H177" s="665"/>
      <c r="I177" s="665"/>
      <c r="J177" s="665"/>
      <c r="K177" s="665"/>
      <c r="L177" s="665"/>
      <c r="M177" s="665"/>
      <c r="N177" s="665"/>
      <c r="O177" s="665"/>
      <c r="P177" s="665"/>
      <c r="Q177" s="665"/>
      <c r="R177" s="665"/>
      <c r="S177" s="665"/>
      <c r="T177" s="665"/>
      <c r="U177" s="371"/>
      <c r="V177" s="666" t="s">
        <v>227</v>
      </c>
      <c r="W177" s="666"/>
      <c r="X177" s="666"/>
      <c r="Y177" s="666"/>
      <c r="Z177" s="666"/>
      <c r="AA177" s="666"/>
      <c r="AB177" s="666"/>
      <c r="AC177" s="666"/>
      <c r="AD177" s="666"/>
      <c r="AE177" s="666"/>
      <c r="AF177" s="666"/>
      <c r="AG177" s="666"/>
      <c r="AH177" s="666"/>
      <c r="AI177" s="666"/>
      <c r="AJ177" s="666"/>
      <c r="AK177" s="666"/>
      <c r="AL177" s="666"/>
      <c r="AM177" s="666"/>
      <c r="AN177" s="666"/>
      <c r="AO177" s="666"/>
    </row>
    <row r="178" spans="1:41" ht="36.75" customHeight="1" thickTop="1" x14ac:dyDescent="0.3">
      <c r="B178" s="712" t="s">
        <v>228</v>
      </c>
      <c r="C178" s="712"/>
      <c r="D178" s="713" t="s">
        <v>207</v>
      </c>
      <c r="E178" s="713"/>
      <c r="F178" s="713"/>
      <c r="G178" s="713"/>
      <c r="H178" s="713"/>
      <c r="I178" s="713"/>
      <c r="J178" s="714"/>
      <c r="K178" s="18"/>
      <c r="L178" s="18"/>
      <c r="M178" s="18"/>
      <c r="N178" s="18"/>
      <c r="O178" s="18"/>
      <c r="P178" s="18"/>
      <c r="Q178" s="64" t="s">
        <v>123</v>
      </c>
      <c r="R178" s="64" t="s">
        <v>124</v>
      </c>
      <c r="S178" s="64" t="s">
        <v>125</v>
      </c>
      <c r="T178" s="449" t="s">
        <v>110</v>
      </c>
      <c r="U178" s="371"/>
      <c r="V178" s="67" t="s">
        <v>123</v>
      </c>
      <c r="W178" s="67" t="s">
        <v>124</v>
      </c>
      <c r="X178" s="429" t="s">
        <v>125</v>
      </c>
      <c r="Y178" s="373" t="s">
        <v>126</v>
      </c>
      <c r="Z178" s="431"/>
      <c r="AA178" s="198" t="s">
        <v>228</v>
      </c>
      <c r="AB178" s="198"/>
      <c r="AC178" s="190"/>
      <c r="AD178" s="190"/>
      <c r="AE178" s="190"/>
      <c r="AF178" s="190"/>
      <c r="AG178" s="190"/>
      <c r="AH178" s="190"/>
      <c r="AI178" s="190"/>
      <c r="AJ178" s="190"/>
      <c r="AK178" s="18"/>
      <c r="AL178" s="18"/>
      <c r="AM178" s="18"/>
      <c r="AN178" s="18"/>
      <c r="AO178" s="202"/>
    </row>
    <row r="179" spans="1:41" ht="25.5" customHeight="1" x14ac:dyDescent="0.25">
      <c r="B179" s="715" t="s">
        <v>229</v>
      </c>
      <c r="C179" s="715"/>
      <c r="D179" s="647"/>
      <c r="E179" s="648"/>
      <c r="F179" s="648"/>
      <c r="G179" s="648"/>
      <c r="H179" s="648"/>
      <c r="I179" s="649"/>
      <c r="J179" s="170"/>
      <c r="K179" s="170"/>
      <c r="L179" s="170"/>
      <c r="M179" s="170"/>
      <c r="N179" s="170"/>
      <c r="O179" s="170"/>
      <c r="P179" s="488"/>
      <c r="Q179" s="276"/>
      <c r="R179" s="276"/>
      <c r="S179" s="276"/>
      <c r="T179" s="717">
        <f xml:space="preserve"> SUM(Q179:Q183,R179:R183,S179:S183)</f>
        <v>0</v>
      </c>
      <c r="U179" s="719">
        <f>MatSupTOT+Y179</f>
        <v>0</v>
      </c>
      <c r="V179" s="280"/>
      <c r="W179" s="273"/>
      <c r="X179" s="273"/>
      <c r="Y179" s="720">
        <f>SUM(V179:V183,W179:W183,X179:X183)</f>
        <v>0</v>
      </c>
      <c r="AA179" s="192" t="s">
        <v>229</v>
      </c>
      <c r="AB179" s="193"/>
      <c r="AC179" s="634"/>
      <c r="AD179" s="635"/>
      <c r="AE179" s="635"/>
      <c r="AF179" s="635"/>
      <c r="AG179" s="635"/>
      <c r="AH179" s="635"/>
      <c r="AI179" s="635"/>
      <c r="AJ179" s="636"/>
      <c r="AO179" s="159"/>
    </row>
    <row r="180" spans="1:41" ht="25.5" customHeight="1" x14ac:dyDescent="0.25">
      <c r="B180" s="715"/>
      <c r="C180" s="715"/>
      <c r="D180" s="647"/>
      <c r="E180" s="648"/>
      <c r="F180" s="648"/>
      <c r="G180" s="648"/>
      <c r="H180" s="648"/>
      <c r="I180" s="649"/>
      <c r="J180" s="170"/>
      <c r="K180" s="170"/>
      <c r="L180" s="170"/>
      <c r="M180" s="170"/>
      <c r="N180" s="170"/>
      <c r="O180" s="170"/>
      <c r="P180" s="488"/>
      <c r="Q180" s="276"/>
      <c r="R180" s="275"/>
      <c r="S180" s="275"/>
      <c r="T180" s="717"/>
      <c r="U180" s="719"/>
      <c r="V180" s="280"/>
      <c r="W180" s="273"/>
      <c r="X180" s="273"/>
      <c r="Y180" s="721"/>
      <c r="AA180" s="194"/>
      <c r="AB180" s="195"/>
      <c r="AC180" s="634"/>
      <c r="AD180" s="635"/>
      <c r="AE180" s="635"/>
      <c r="AF180" s="635"/>
      <c r="AG180" s="635"/>
      <c r="AH180" s="635"/>
      <c r="AI180" s="635"/>
      <c r="AJ180" s="636"/>
      <c r="AO180" s="159"/>
    </row>
    <row r="181" spans="1:41" ht="25.5" customHeight="1" x14ac:dyDescent="0.25">
      <c r="B181" s="715"/>
      <c r="C181" s="715"/>
      <c r="D181" s="647"/>
      <c r="E181" s="648"/>
      <c r="F181" s="648"/>
      <c r="G181" s="648"/>
      <c r="H181" s="648"/>
      <c r="I181" s="649"/>
      <c r="J181" s="170"/>
      <c r="K181" s="170"/>
      <c r="L181" s="170"/>
      <c r="M181" s="170"/>
      <c r="N181" s="170"/>
      <c r="O181" s="170"/>
      <c r="P181" s="488"/>
      <c r="Q181" s="276"/>
      <c r="R181" s="275"/>
      <c r="S181" s="276"/>
      <c r="T181" s="717"/>
      <c r="U181" s="719"/>
      <c r="V181" s="280"/>
      <c r="W181" s="273"/>
      <c r="X181" s="273"/>
      <c r="Y181" s="721"/>
      <c r="AA181" s="194"/>
      <c r="AB181" s="195"/>
      <c r="AC181" s="634"/>
      <c r="AD181" s="635"/>
      <c r="AE181" s="635"/>
      <c r="AF181" s="635"/>
      <c r="AG181" s="635"/>
      <c r="AH181" s="635"/>
      <c r="AI181" s="635"/>
      <c r="AJ181" s="636"/>
      <c r="AO181" s="159"/>
    </row>
    <row r="182" spans="1:41" ht="25.5" customHeight="1" x14ac:dyDescent="0.25">
      <c r="B182" s="715"/>
      <c r="C182" s="715"/>
      <c r="D182" s="647"/>
      <c r="E182" s="648"/>
      <c r="F182" s="648"/>
      <c r="G182" s="648"/>
      <c r="H182" s="648"/>
      <c r="I182" s="649"/>
      <c r="J182" s="170"/>
      <c r="K182" s="170"/>
      <c r="L182" s="170"/>
      <c r="M182" s="170"/>
      <c r="N182" s="170"/>
      <c r="O182" s="170"/>
      <c r="P182" s="488"/>
      <c r="Q182" s="276"/>
      <c r="R182" s="276"/>
      <c r="S182" s="275"/>
      <c r="T182" s="717"/>
      <c r="U182" s="719"/>
      <c r="V182" s="280"/>
      <c r="W182" s="273"/>
      <c r="X182" s="273"/>
      <c r="Y182" s="721"/>
      <c r="AA182" s="194"/>
      <c r="AB182" s="195"/>
      <c r="AC182" s="634"/>
      <c r="AD182" s="635"/>
      <c r="AE182" s="635"/>
      <c r="AF182" s="635"/>
      <c r="AG182" s="635"/>
      <c r="AH182" s="635"/>
      <c r="AI182" s="635"/>
      <c r="AJ182" s="636"/>
      <c r="AO182" s="159"/>
    </row>
    <row r="183" spans="1:41" ht="25.5" customHeight="1" thickBot="1" x14ac:dyDescent="0.3">
      <c r="B183" s="716"/>
      <c r="C183" s="716"/>
      <c r="D183" s="653"/>
      <c r="E183" s="654"/>
      <c r="F183" s="654"/>
      <c r="G183" s="654"/>
      <c r="H183" s="654"/>
      <c r="I183" s="655"/>
      <c r="J183" s="170"/>
      <c r="K183" s="170"/>
      <c r="L183" s="170"/>
      <c r="M183" s="170"/>
      <c r="N183" s="170"/>
      <c r="O183" s="170"/>
      <c r="P183" s="488"/>
      <c r="Q183" s="492"/>
      <c r="R183" s="277"/>
      <c r="S183" s="523"/>
      <c r="T183" s="718"/>
      <c r="U183" s="719"/>
      <c r="V183" s="280"/>
      <c r="W183" s="273"/>
      <c r="X183" s="273"/>
      <c r="Y183" s="722"/>
      <c r="AA183" s="196"/>
      <c r="AB183" s="197"/>
      <c r="AC183" s="723"/>
      <c r="AD183" s="724"/>
      <c r="AE183" s="724"/>
      <c r="AF183" s="724"/>
      <c r="AG183" s="724"/>
      <c r="AH183" s="724"/>
      <c r="AI183" s="724"/>
      <c r="AJ183" s="725"/>
      <c r="AO183" s="159"/>
    </row>
    <row r="184" spans="1:41" ht="34.5" customHeight="1" x14ac:dyDescent="0.25">
      <c r="A184" s="450"/>
      <c r="B184" s="708" t="s">
        <v>230</v>
      </c>
      <c r="C184" s="708"/>
      <c r="D184" s="650"/>
      <c r="E184" s="651"/>
      <c r="F184" s="651"/>
      <c r="G184" s="651"/>
      <c r="H184" s="651"/>
      <c r="I184" s="652"/>
      <c r="J184"/>
      <c r="P184" s="489"/>
      <c r="Q184" s="278"/>
      <c r="R184" s="279"/>
      <c r="S184" s="279"/>
      <c r="T184" s="87">
        <f>SUM(Q184:S184)</f>
        <v>0</v>
      </c>
      <c r="U184" s="371">
        <f t="shared" ref="U184:U189" si="73">T184+Y184</f>
        <v>0</v>
      </c>
      <c r="V184" s="283"/>
      <c r="W184" s="284"/>
      <c r="X184" s="284"/>
      <c r="Y184" s="451">
        <f t="shared" ref="Y184:Y189" si="74">SUM(V184:X184)</f>
        <v>0</v>
      </c>
      <c r="AA184" s="641" t="s">
        <v>231</v>
      </c>
      <c r="AB184" s="642"/>
      <c r="AC184" s="709"/>
      <c r="AD184" s="710"/>
      <c r="AE184" s="710"/>
      <c r="AF184" s="710"/>
      <c r="AG184" s="710"/>
      <c r="AH184" s="710"/>
      <c r="AI184" s="710"/>
      <c r="AJ184" s="711"/>
      <c r="AO184" s="159"/>
    </row>
    <row r="185" spans="1:41" ht="34.5" customHeight="1" x14ac:dyDescent="0.25">
      <c r="B185" s="705" t="s">
        <v>232</v>
      </c>
      <c r="C185" s="705"/>
      <c r="D185" s="647"/>
      <c r="E185" s="648"/>
      <c r="F185" s="648"/>
      <c r="G185" s="648"/>
      <c r="H185" s="648"/>
      <c r="I185" s="649"/>
      <c r="J185" s="170"/>
      <c r="P185" s="489"/>
      <c r="Q185" s="276"/>
      <c r="R185" s="275"/>
      <c r="S185" s="275"/>
      <c r="T185" s="85">
        <f>SUM(Q185:S185)</f>
        <v>0</v>
      </c>
      <c r="U185" s="371">
        <f t="shared" si="73"/>
        <v>0</v>
      </c>
      <c r="V185" s="285"/>
      <c r="W185" s="273"/>
      <c r="X185" s="273"/>
      <c r="Y185" s="451">
        <f t="shared" si="74"/>
        <v>0</v>
      </c>
      <c r="AA185" s="643" t="s">
        <v>230</v>
      </c>
      <c r="AB185" s="644"/>
      <c r="AC185" s="634"/>
      <c r="AD185" s="635"/>
      <c r="AE185" s="635"/>
      <c r="AF185" s="635"/>
      <c r="AG185" s="635"/>
      <c r="AH185" s="635"/>
      <c r="AI185" s="635"/>
      <c r="AJ185" s="636"/>
      <c r="AO185" s="159"/>
    </row>
    <row r="186" spans="1:41" ht="34.5" customHeight="1" x14ac:dyDescent="0.25">
      <c r="B186" s="705" t="s">
        <v>233</v>
      </c>
      <c r="C186" s="705"/>
      <c r="D186" s="647"/>
      <c r="E186" s="648"/>
      <c r="F186" s="648"/>
      <c r="G186" s="648"/>
      <c r="H186" s="648"/>
      <c r="I186" s="649"/>
      <c r="J186" s="170"/>
      <c r="P186" s="489"/>
      <c r="Q186" s="278"/>
      <c r="R186" s="279"/>
      <c r="S186" s="279"/>
      <c r="T186" s="85">
        <f>SUM(Q186:S186)</f>
        <v>0</v>
      </c>
      <c r="U186" s="371">
        <f t="shared" si="73"/>
        <v>0</v>
      </c>
      <c r="V186" s="285"/>
      <c r="W186" s="273"/>
      <c r="X186" s="273"/>
      <c r="Y186" s="451">
        <f t="shared" si="74"/>
        <v>0</v>
      </c>
      <c r="AA186" s="645" t="s">
        <v>233</v>
      </c>
      <c r="AB186" s="646"/>
      <c r="AC186" s="634"/>
      <c r="AD186" s="635"/>
      <c r="AE186" s="635"/>
      <c r="AF186" s="635"/>
      <c r="AG186" s="635"/>
      <c r="AH186" s="635"/>
      <c r="AI186" s="635"/>
      <c r="AJ186" s="636"/>
      <c r="AO186" s="159"/>
    </row>
    <row r="187" spans="1:41" ht="34.5" customHeight="1" x14ac:dyDescent="0.25">
      <c r="B187" s="705" t="s">
        <v>234</v>
      </c>
      <c r="C187" s="705"/>
      <c r="D187" s="647"/>
      <c r="E187" s="648"/>
      <c r="F187" s="648"/>
      <c r="G187" s="648"/>
      <c r="H187" s="648"/>
      <c r="I187" s="649"/>
      <c r="J187" s="170"/>
      <c r="P187" s="489"/>
      <c r="Q187" s="276"/>
      <c r="R187" s="275"/>
      <c r="S187" s="275"/>
      <c r="T187" s="85">
        <f>SUM(E187:S187)</f>
        <v>0</v>
      </c>
      <c r="U187" s="371">
        <f t="shared" si="73"/>
        <v>0</v>
      </c>
      <c r="V187" s="285"/>
      <c r="W187" s="273"/>
      <c r="X187" s="273"/>
      <c r="Y187" s="451">
        <f t="shared" si="74"/>
        <v>0</v>
      </c>
      <c r="AA187" s="645" t="s">
        <v>234</v>
      </c>
      <c r="AB187" s="646"/>
      <c r="AC187" s="634"/>
      <c r="AD187" s="635"/>
      <c r="AE187" s="635"/>
      <c r="AF187" s="635"/>
      <c r="AG187" s="635"/>
      <c r="AH187" s="635"/>
      <c r="AI187" s="635"/>
      <c r="AJ187" s="636"/>
      <c r="AO187" s="159"/>
    </row>
    <row r="188" spans="1:41" ht="34.5" customHeight="1" x14ac:dyDescent="0.25">
      <c r="B188" s="705" t="s">
        <v>235</v>
      </c>
      <c r="C188" s="705"/>
      <c r="D188" s="647"/>
      <c r="E188" s="648"/>
      <c r="F188" s="648"/>
      <c r="G188" s="648"/>
      <c r="H188" s="648"/>
      <c r="I188" s="649"/>
      <c r="J188" s="170"/>
      <c r="P188" s="489"/>
      <c r="Q188" s="278"/>
      <c r="R188" s="279"/>
      <c r="S188" s="279"/>
      <c r="T188" s="85">
        <f t="shared" ref="T188:T194" si="75">SUM(Q188:S188)</f>
        <v>0</v>
      </c>
      <c r="U188" s="371">
        <f t="shared" si="73"/>
        <v>0</v>
      </c>
      <c r="V188" s="285"/>
      <c r="W188" s="273"/>
      <c r="X188" s="273"/>
      <c r="Y188" s="451">
        <f t="shared" si="74"/>
        <v>0</v>
      </c>
      <c r="AA188" s="645" t="s">
        <v>235</v>
      </c>
      <c r="AB188" s="646"/>
      <c r="AC188" s="634"/>
      <c r="AD188" s="635"/>
      <c r="AE188" s="635"/>
      <c r="AF188" s="635"/>
      <c r="AG188" s="635"/>
      <c r="AH188" s="635"/>
      <c r="AI188" s="635"/>
      <c r="AJ188" s="636"/>
      <c r="AO188" s="159"/>
    </row>
    <row r="189" spans="1:41" ht="34.5" customHeight="1" x14ac:dyDescent="0.25">
      <c r="B189" s="706" t="s">
        <v>236</v>
      </c>
      <c r="C189" s="707"/>
      <c r="D189" s="647"/>
      <c r="E189" s="648"/>
      <c r="F189" s="648"/>
      <c r="G189" s="648"/>
      <c r="H189" s="648"/>
      <c r="I189" s="649"/>
      <c r="J189" s="170"/>
      <c r="P189" s="489"/>
      <c r="Q189" s="276"/>
      <c r="R189" s="275"/>
      <c r="S189" s="275"/>
      <c r="T189" s="85">
        <f t="shared" si="75"/>
        <v>0</v>
      </c>
      <c r="U189" s="371">
        <f t="shared" si="73"/>
        <v>0</v>
      </c>
      <c r="V189" s="285"/>
      <c r="W189" s="273"/>
      <c r="X189" s="273"/>
      <c r="Y189" s="451">
        <f t="shared" si="74"/>
        <v>0</v>
      </c>
      <c r="AA189" s="637" t="s">
        <v>237</v>
      </c>
      <c r="AB189" s="638"/>
      <c r="AC189" s="634"/>
      <c r="AD189" s="635"/>
      <c r="AE189" s="635"/>
      <c r="AF189" s="635"/>
      <c r="AG189" s="635"/>
      <c r="AH189" s="635"/>
      <c r="AI189" s="635"/>
      <c r="AJ189" s="636"/>
      <c r="AO189" s="159"/>
    </row>
    <row r="190" spans="1:41" ht="34.5" customHeight="1" x14ac:dyDescent="0.25">
      <c r="B190" s="324"/>
      <c r="C190" s="325"/>
      <c r="D190" s="647"/>
      <c r="E190" s="648"/>
      <c r="F190" s="648"/>
      <c r="G190" s="648"/>
      <c r="H190" s="648"/>
      <c r="I190" s="649"/>
      <c r="J190" s="503"/>
      <c r="P190" s="489"/>
      <c r="Q190" s="278"/>
      <c r="R190" s="279"/>
      <c r="S190" s="279"/>
      <c r="T190" s="85">
        <f t="shared" si="75"/>
        <v>0</v>
      </c>
      <c r="U190" s="371"/>
      <c r="V190" s="285"/>
      <c r="W190" s="273"/>
      <c r="X190" s="273"/>
      <c r="Y190" s="451">
        <f t="shared" ref="Y190:Y195" si="76">SUM(V190:X190)</f>
        <v>0</v>
      </c>
      <c r="AA190" s="637"/>
      <c r="AB190" s="638"/>
      <c r="AC190" s="634"/>
      <c r="AD190" s="635"/>
      <c r="AE190" s="635"/>
      <c r="AF190" s="635"/>
      <c r="AG190" s="635"/>
      <c r="AH190" s="635"/>
      <c r="AI190" s="635"/>
      <c r="AJ190" s="636"/>
      <c r="AO190" s="159"/>
    </row>
    <row r="191" spans="1:41" ht="34.5" customHeight="1" x14ac:dyDescent="0.25">
      <c r="B191" s="324"/>
      <c r="C191" s="325"/>
      <c r="D191" s="647"/>
      <c r="E191" s="648"/>
      <c r="F191" s="648"/>
      <c r="G191" s="648"/>
      <c r="H191" s="648"/>
      <c r="I191" s="649"/>
      <c r="J191" s="503"/>
      <c r="P191" s="489"/>
      <c r="Q191" s="276"/>
      <c r="R191" s="275"/>
      <c r="S191" s="275"/>
      <c r="T191" s="85">
        <f t="shared" si="75"/>
        <v>0</v>
      </c>
      <c r="U191" s="371"/>
      <c r="V191" s="285"/>
      <c r="W191" s="273"/>
      <c r="X191" s="273"/>
      <c r="Y191" s="451">
        <f t="shared" si="76"/>
        <v>0</v>
      </c>
      <c r="AA191" s="637"/>
      <c r="AB191" s="638"/>
      <c r="AC191" s="634"/>
      <c r="AD191" s="635"/>
      <c r="AE191" s="635"/>
      <c r="AF191" s="635"/>
      <c r="AG191" s="635"/>
      <c r="AH191" s="635"/>
      <c r="AI191" s="635"/>
      <c r="AJ191" s="636"/>
      <c r="AO191" s="159"/>
    </row>
    <row r="192" spans="1:41" ht="31.5" customHeight="1" x14ac:dyDescent="0.25">
      <c r="B192" s="699"/>
      <c r="C192" s="700"/>
      <c r="D192" s="647"/>
      <c r="E192" s="648"/>
      <c r="F192" s="648"/>
      <c r="G192" s="648"/>
      <c r="H192" s="648"/>
      <c r="I192" s="649"/>
      <c r="J192" s="170"/>
      <c r="K192" s="166"/>
      <c r="L192" s="166"/>
      <c r="M192" s="166"/>
      <c r="N192" s="166"/>
      <c r="O192" s="166"/>
      <c r="P192" s="489"/>
      <c r="Q192" s="278"/>
      <c r="R192" s="279"/>
      <c r="S192" s="279"/>
      <c r="T192" s="85">
        <f t="shared" si="75"/>
        <v>0</v>
      </c>
      <c r="U192" s="371">
        <f>T192+Y192</f>
        <v>0</v>
      </c>
      <c r="V192" s="285"/>
      <c r="W192" s="273"/>
      <c r="X192" s="273"/>
      <c r="Y192" s="451">
        <f t="shared" si="76"/>
        <v>0</v>
      </c>
      <c r="AA192" s="637"/>
      <c r="AB192" s="638"/>
      <c r="AC192" s="634"/>
      <c r="AD192" s="635"/>
      <c r="AE192" s="635"/>
      <c r="AF192" s="635"/>
      <c r="AG192" s="635"/>
      <c r="AH192" s="635"/>
      <c r="AI192" s="635"/>
      <c r="AJ192" s="636"/>
      <c r="AO192" s="159"/>
    </row>
    <row r="193" spans="2:42" ht="31.5" customHeight="1" x14ac:dyDescent="0.25">
      <c r="B193" s="699"/>
      <c r="C193" s="700"/>
      <c r="D193" s="647"/>
      <c r="E193" s="648"/>
      <c r="F193" s="648"/>
      <c r="G193" s="648"/>
      <c r="H193" s="648"/>
      <c r="I193" s="649"/>
      <c r="J193" s="170"/>
      <c r="K193" s="166"/>
      <c r="L193" s="166"/>
      <c r="M193" s="166"/>
      <c r="N193" s="166"/>
      <c r="O193" s="166"/>
      <c r="P193" s="489"/>
      <c r="Q193" s="276"/>
      <c r="R193" s="275"/>
      <c r="S193" s="275"/>
      <c r="T193" s="85">
        <f t="shared" si="75"/>
        <v>0</v>
      </c>
      <c r="U193" s="371">
        <f>T193+Y193</f>
        <v>0</v>
      </c>
      <c r="V193" s="285"/>
      <c r="W193" s="273"/>
      <c r="X193" s="273"/>
      <c r="Y193" s="451">
        <f t="shared" si="76"/>
        <v>0</v>
      </c>
      <c r="AA193" s="637"/>
      <c r="AB193" s="638"/>
      <c r="AC193" s="634"/>
      <c r="AD193" s="635"/>
      <c r="AE193" s="635"/>
      <c r="AF193" s="635"/>
      <c r="AG193" s="635"/>
      <c r="AH193" s="635"/>
      <c r="AI193" s="635"/>
      <c r="AJ193" s="636"/>
      <c r="AO193" s="159"/>
    </row>
    <row r="194" spans="2:42" ht="33" customHeight="1" x14ac:dyDescent="0.25">
      <c r="B194" s="701"/>
      <c r="C194" s="701"/>
      <c r="D194" s="647"/>
      <c r="E194" s="648"/>
      <c r="F194" s="648"/>
      <c r="G194" s="648"/>
      <c r="H194" s="648"/>
      <c r="I194" s="649"/>
      <c r="J194" s="170"/>
      <c r="K194" s="170"/>
      <c r="L194" s="170"/>
      <c r="M194" s="170"/>
      <c r="N194" s="170"/>
      <c r="O194" s="170"/>
      <c r="P194" s="488"/>
      <c r="Q194" s="278"/>
      <c r="R194" s="279"/>
      <c r="S194" s="279"/>
      <c r="T194" s="85">
        <f t="shared" si="75"/>
        <v>0</v>
      </c>
      <c r="U194" s="371">
        <f>T194+Y194</f>
        <v>0</v>
      </c>
      <c r="V194" s="285"/>
      <c r="W194" s="273"/>
      <c r="X194" s="273"/>
      <c r="Y194" s="451">
        <f t="shared" si="76"/>
        <v>0</v>
      </c>
      <c r="AA194" s="639"/>
      <c r="AB194" s="640"/>
      <c r="AC194" s="702"/>
      <c r="AD194" s="703"/>
      <c r="AE194" s="703"/>
      <c r="AF194" s="703"/>
      <c r="AG194" s="703"/>
      <c r="AH194" s="703"/>
      <c r="AI194" s="703"/>
      <c r="AJ194" s="704"/>
      <c r="AK194" s="220"/>
      <c r="AL194" s="220"/>
      <c r="AM194" s="220"/>
      <c r="AN194" s="220"/>
      <c r="AO194" s="159"/>
    </row>
    <row r="195" spans="2:42" ht="45" customHeight="1" thickBot="1" x14ac:dyDescent="0.3">
      <c r="B195" s="691" t="s">
        <v>238</v>
      </c>
      <c r="C195" s="691"/>
      <c r="D195" s="691"/>
      <c r="E195" s="691"/>
      <c r="F195" s="691"/>
      <c r="G195" s="691"/>
      <c r="H195" s="691"/>
      <c r="I195" s="691"/>
      <c r="J195" s="404"/>
      <c r="K195" s="404"/>
      <c r="L195" s="404"/>
      <c r="M195" s="404"/>
      <c r="N195" s="404"/>
      <c r="O195" s="404"/>
      <c r="P195" s="404"/>
      <c r="Q195" s="441">
        <f>SUM(Q179:Q183,Q184:Q194)</f>
        <v>0</v>
      </c>
      <c r="R195" s="441">
        <f>SUM(R179:R183,R184:R194)</f>
        <v>0</v>
      </c>
      <c r="S195" s="441">
        <f>SUM(S179:S183,S184:S194)</f>
        <v>0</v>
      </c>
      <c r="T195" s="441">
        <f>SUM(MatSupTOT,T184:T194)</f>
        <v>0</v>
      </c>
      <c r="U195" s="371">
        <f>OtherDirCostsTOT+Y195</f>
        <v>0</v>
      </c>
      <c r="V195" s="530">
        <f>SUM(V179:V194)</f>
        <v>0</v>
      </c>
      <c r="W195" s="531">
        <f>SUM(W179:W194)</f>
        <v>0</v>
      </c>
      <c r="X195" s="531">
        <f>SUM(X179:X194)</f>
        <v>0</v>
      </c>
      <c r="Y195" s="533">
        <f t="shared" si="76"/>
        <v>0</v>
      </c>
      <c r="Z195" s="426"/>
      <c r="AA195" s="692" t="s">
        <v>238</v>
      </c>
      <c r="AB195" s="692"/>
      <c r="AC195" s="692"/>
      <c r="AD195" s="692"/>
      <c r="AE195" s="692"/>
      <c r="AF195" s="692"/>
      <c r="AG195" s="692"/>
      <c r="AH195" s="692"/>
      <c r="AI195" s="692"/>
      <c r="AJ195" s="692"/>
      <c r="AK195" s="692"/>
      <c r="AL195" s="692"/>
      <c r="AM195" s="692"/>
      <c r="AN195" s="692"/>
      <c r="AO195" s="693"/>
    </row>
    <row r="196" spans="2:42" ht="47.25" customHeight="1" thickBot="1" x14ac:dyDescent="0.35">
      <c r="B196" s="694" t="s">
        <v>239</v>
      </c>
      <c r="C196" s="694"/>
      <c r="D196" s="694"/>
      <c r="E196" s="694"/>
      <c r="F196" s="694"/>
      <c r="G196" s="694"/>
      <c r="H196" s="694"/>
      <c r="I196" s="694"/>
      <c r="J196" s="695"/>
      <c r="K196" s="695"/>
      <c r="L196" s="695"/>
      <c r="M196" s="695"/>
      <c r="N196" s="695"/>
      <c r="O196" s="695"/>
      <c r="P196" s="695"/>
      <c r="Q196" s="694"/>
      <c r="R196" s="694"/>
      <c r="S196" s="694"/>
      <c r="T196" s="694"/>
      <c r="U196" s="371"/>
      <c r="V196" s="696" t="s">
        <v>240</v>
      </c>
      <c r="W196" s="696"/>
      <c r="X196" s="696"/>
      <c r="Y196" s="696"/>
      <c r="Z196" s="696"/>
      <c r="AA196" s="696"/>
      <c r="AB196" s="696"/>
      <c r="AC196" s="696"/>
      <c r="AD196" s="696"/>
      <c r="AE196" s="696"/>
      <c r="AF196" s="696"/>
      <c r="AG196" s="696"/>
      <c r="AH196" s="696"/>
      <c r="AI196" s="696"/>
      <c r="AJ196" s="696"/>
      <c r="AK196" s="696"/>
      <c r="AL196" s="696"/>
      <c r="AM196" s="696"/>
      <c r="AN196" s="696"/>
      <c r="AO196" s="696"/>
    </row>
    <row r="197" spans="2:42" ht="32.25" customHeight="1" thickTop="1" x14ac:dyDescent="0.3">
      <c r="B197" s="16"/>
      <c r="C197" s="452" t="s">
        <v>241</v>
      </c>
      <c r="D197" s="61" t="s">
        <v>242</v>
      </c>
      <c r="E197" s="697"/>
      <c r="F197" s="697"/>
      <c r="G197" s="697"/>
      <c r="H197" s="697"/>
      <c r="I197" s="698"/>
      <c r="J197" s="481"/>
      <c r="K197" s="481"/>
      <c r="L197" s="481"/>
      <c r="M197" s="481"/>
      <c r="N197" s="481"/>
      <c r="O197" s="164"/>
      <c r="P197" s="498"/>
      <c r="Q197" s="276"/>
      <c r="R197" s="275"/>
      <c r="S197" s="275"/>
      <c r="T197" s="86">
        <f t="shared" ref="T197:T206" si="77">SUM(Q197:S197)</f>
        <v>0</v>
      </c>
      <c r="U197" s="371">
        <f t="shared" ref="U197:U208" si="78">T197+Y197</f>
        <v>0</v>
      </c>
      <c r="V197" s="286"/>
      <c r="W197" s="275"/>
      <c r="X197" s="275"/>
      <c r="Y197" s="257">
        <f t="shared" ref="Y197:Y206" si="79">SUM(V197:X197)</f>
        <v>0</v>
      </c>
      <c r="AA197" s="586" t="s">
        <v>241</v>
      </c>
      <c r="AB197" s="61" t="s">
        <v>242</v>
      </c>
      <c r="AC197" s="34"/>
      <c r="AM197" s="34"/>
      <c r="AN197" s="34"/>
      <c r="AO197" s="159"/>
    </row>
    <row r="198" spans="2:42" ht="33" customHeight="1" thickBot="1" x14ac:dyDescent="0.3">
      <c r="B198" s="16"/>
      <c r="C198" s="90"/>
      <c r="D198" s="91" t="s">
        <v>243</v>
      </c>
      <c r="E198" s="684" t="s">
        <v>244</v>
      </c>
      <c r="F198" s="684"/>
      <c r="G198" s="684"/>
      <c r="H198" s="684"/>
      <c r="I198" s="685"/>
      <c r="J198" s="484"/>
      <c r="K198" s="484"/>
      <c r="L198" s="484"/>
      <c r="M198" s="484"/>
      <c r="N198" s="484"/>
      <c r="O198" s="485"/>
      <c r="P198" s="499"/>
      <c r="Q198" s="483">
        <f>IF(Sub1Yr1 &gt; 25000, Sub1Yr1-25000, 0)</f>
        <v>0</v>
      </c>
      <c r="R198" s="88">
        <f>IF(ExclSub1Yr1 &gt; 0, Sub1Yr2, IF(Sub1Yr1 + Sub1Yr2 &gt; 25000, Sub1Yr1 + Sub1Yr2 - 25000, 0))</f>
        <v>0</v>
      </c>
      <c r="S198" s="88" cm="1">
        <f t="array" ref="S198">IF((ExclSub1Yr1 + ExclSub1Yr2) &gt; 0, Sub1Yr3, IF(Sub1Yr1 + Sub1Yr2 + Sub1Yr3 &gt; 25000, Sub1Yr1 + Sub1Yr2 + Sub1Yr3 - 25000, 0))</f>
        <v>0</v>
      </c>
      <c r="T198" s="89">
        <f>SUM(Q198:S198)</f>
        <v>0</v>
      </c>
      <c r="U198" s="371">
        <f t="shared" si="78"/>
        <v>0</v>
      </c>
      <c r="V198" s="251">
        <f>IF(cs.Sub1Yr1 &gt; 25000, cs.Sub1Yr1 - 25000, 0)</f>
        <v>0</v>
      </c>
      <c r="W198" s="252">
        <f>IF(cs.ExclSub1Yr1 &gt; 0,cs.Sub1Yr2, IF(cs.Sub1Yr1 + cs.Sub1Yr2 &gt; 25000, cs.Sub1Yr1 + cs.Sub1Yr2 - 25000, 0))</f>
        <v>0</v>
      </c>
      <c r="X198" s="252">
        <f>IF((cs.ExclSub1Yr1 + cs.ExclSub1Yr2) &gt; 0,cs.Sub1Yr3, IF(cs.Sub1Yr1 + cs.Sub1Yr2 + cs.Sub1Yr3 &gt; 25000, cs.Sub1Yr1 + cs.Sub1Yr2 + cs.Sub1Yr3 - 25000,0))</f>
        <v>0</v>
      </c>
      <c r="Y198" s="253">
        <f t="shared" si="79"/>
        <v>0</v>
      </c>
      <c r="AA198" s="587"/>
      <c r="AB198" s="91" t="s">
        <v>243</v>
      </c>
      <c r="AC198" s="93"/>
      <c r="AD198" s="690" t="s">
        <v>244</v>
      </c>
      <c r="AE198" s="690"/>
      <c r="AF198" s="690"/>
      <c r="AG198" s="690"/>
      <c r="AH198" s="690"/>
      <c r="AI198" s="151"/>
      <c r="AJ198" s="151"/>
      <c r="AM198" s="34"/>
      <c r="AN198" s="34"/>
      <c r="AO198" s="159"/>
    </row>
    <row r="199" spans="2:42" ht="33" hidden="1" customHeight="1" outlineLevel="1" x14ac:dyDescent="0.3">
      <c r="B199" s="17"/>
      <c r="C199" s="453" t="s">
        <v>245</v>
      </c>
      <c r="D199" s="61" t="s">
        <v>242</v>
      </c>
      <c r="E199" s="688"/>
      <c r="F199" s="688"/>
      <c r="G199" s="688"/>
      <c r="H199" s="688"/>
      <c r="I199" s="689"/>
      <c r="J199" s="482"/>
      <c r="K199" s="482"/>
      <c r="L199" s="482"/>
      <c r="M199" s="482"/>
      <c r="N199" s="482"/>
      <c r="O199" s="163"/>
      <c r="P199" s="500"/>
      <c r="Q199" s="278"/>
      <c r="R199" s="279"/>
      <c r="S199" s="279"/>
      <c r="T199" s="454">
        <f t="shared" si="77"/>
        <v>0</v>
      </c>
      <c r="U199" s="371">
        <f t="shared" si="78"/>
        <v>0</v>
      </c>
      <c r="V199" s="286"/>
      <c r="W199" s="275"/>
      <c r="X199" s="275"/>
      <c r="Y199" s="257">
        <f t="shared" si="79"/>
        <v>0</v>
      </c>
      <c r="AA199" s="588" t="s">
        <v>245</v>
      </c>
      <c r="AB199" s="61" t="s">
        <v>242</v>
      </c>
      <c r="AC199" s="34"/>
      <c r="AD199" s="97"/>
      <c r="AE199" s="97"/>
      <c r="AF199" s="97"/>
      <c r="AG199" s="97"/>
      <c r="AH199" s="97"/>
      <c r="AM199" s="34"/>
      <c r="AN199" s="34"/>
      <c r="AO199" s="159"/>
    </row>
    <row r="200" spans="2:42" ht="32.25" hidden="1" customHeight="1" outlineLevel="1" thickBot="1" x14ac:dyDescent="0.3">
      <c r="B200" s="17"/>
      <c r="C200" s="92"/>
      <c r="D200" s="91" t="s">
        <v>243</v>
      </c>
      <c r="E200" s="684" t="s">
        <v>244</v>
      </c>
      <c r="F200" s="684"/>
      <c r="G200" s="684"/>
      <c r="H200" s="684"/>
      <c r="I200" s="685"/>
      <c r="J200" s="484"/>
      <c r="K200" s="484"/>
      <c r="L200" s="484"/>
      <c r="M200" s="484"/>
      <c r="N200" s="484"/>
      <c r="O200" s="485"/>
      <c r="P200" s="499"/>
      <c r="Q200" s="483">
        <f>IF(Sub2Yr1 &gt; 25000, Sub2Yr1 - 25000, 0)</f>
        <v>0</v>
      </c>
      <c r="R200" s="88">
        <f>IF(ExclSub2Yr1&gt;0,Sub2Yr2,IF(Sub2Yr1+Sub2Yr2&gt;25000,Sub2Yr1+Sub2Yr2-25000,0))</f>
        <v>0</v>
      </c>
      <c r="S200" s="88">
        <f>IF(ExclSub2Yr1 + ExclSub2Yr2 &gt; 0, Sub2Yr3, IF(Sub2Yr1 + Sub2Yr2 + Sub2Yr3 &gt; 25000, Sub2Yr1 + Sub2Yr2 + Sub2Yr3 - 25000, 0))</f>
        <v>0</v>
      </c>
      <c r="T200" s="89">
        <f t="shared" si="77"/>
        <v>0</v>
      </c>
      <c r="U200" s="371">
        <f t="shared" si="78"/>
        <v>0</v>
      </c>
      <c r="V200" s="251">
        <f>IF(cs.Sub2Yr1 &gt; 25000, cs.Sub2Yr1 - 25000, 0)</f>
        <v>0</v>
      </c>
      <c r="W200" s="252">
        <f>IF(cs.ExclSub2Yr1 &gt; 0,cs.Sub2Yr2, IF(cs.Sub2Yr1 + cs.Sub2Yr2 &gt; 25000, cs.Sub2Yr1 + cs.Sub2Yr2 - 25000,0))</f>
        <v>0</v>
      </c>
      <c r="X200" s="252">
        <f>IF((cs.ExclSub2Yr1 + cs.ExclSub2Yr2) &gt; 0,cs.Sub2Yr3, IF(cs.Sub2Yr1 + cs.Sub2Yr2 + cs.Sub2Yr3 &gt; 25000, cs.Sub2Yr1 + cs.Sub2Yr2 + cs.Sub2Yr3 - 25000, 0))</f>
        <v>0</v>
      </c>
      <c r="Y200" s="253">
        <f t="shared" si="79"/>
        <v>0</v>
      </c>
      <c r="AA200" s="589"/>
      <c r="AB200" s="91" t="s">
        <v>243</v>
      </c>
      <c r="AC200" s="93"/>
      <c r="AD200" s="690" t="s">
        <v>244</v>
      </c>
      <c r="AE200" s="690"/>
      <c r="AF200" s="690"/>
      <c r="AG200" s="690"/>
      <c r="AH200" s="690"/>
      <c r="AI200" s="151"/>
      <c r="AJ200" s="151"/>
      <c r="AM200" s="34"/>
      <c r="AN200" s="34"/>
      <c r="AO200" s="159"/>
    </row>
    <row r="201" spans="2:42" ht="33" hidden="1" customHeight="1" outlineLevel="1" x14ac:dyDescent="0.3">
      <c r="B201" s="16"/>
      <c r="C201" s="452" t="s">
        <v>246</v>
      </c>
      <c r="D201" s="61" t="s">
        <v>242</v>
      </c>
      <c r="E201" s="686"/>
      <c r="F201" s="686"/>
      <c r="G201" s="686"/>
      <c r="H201" s="686"/>
      <c r="I201" s="687"/>
      <c r="J201" s="481"/>
      <c r="K201" s="481"/>
      <c r="L201" s="481"/>
      <c r="M201" s="481"/>
      <c r="N201" s="481"/>
      <c r="O201" s="164"/>
      <c r="P201" s="498"/>
      <c r="Q201" s="278"/>
      <c r="R201" s="279"/>
      <c r="S201" s="279"/>
      <c r="T201" s="87">
        <f t="shared" si="77"/>
        <v>0</v>
      </c>
      <c r="U201" s="371">
        <f t="shared" si="78"/>
        <v>0</v>
      </c>
      <c r="V201" s="286"/>
      <c r="W201" s="275"/>
      <c r="X201" s="275"/>
      <c r="Y201" s="257">
        <f t="shared" si="79"/>
        <v>0</v>
      </c>
      <c r="AA201" s="586" t="s">
        <v>246</v>
      </c>
      <c r="AB201" s="61" t="s">
        <v>242</v>
      </c>
      <c r="AC201" s="34"/>
      <c r="AD201" s="97"/>
      <c r="AE201" s="97"/>
      <c r="AF201" s="97"/>
      <c r="AG201" s="97"/>
      <c r="AH201" s="97"/>
      <c r="AM201" s="34"/>
      <c r="AN201" s="34"/>
      <c r="AO201" s="159"/>
    </row>
    <row r="202" spans="2:42" ht="33" hidden="1" customHeight="1" outlineLevel="1" thickBot="1" x14ac:dyDescent="0.3">
      <c r="B202" s="16"/>
      <c r="C202" s="90"/>
      <c r="D202" s="91" t="s">
        <v>243</v>
      </c>
      <c r="E202" s="684" t="s">
        <v>244</v>
      </c>
      <c r="F202" s="684"/>
      <c r="G202" s="684"/>
      <c r="H202" s="684"/>
      <c r="I202" s="685"/>
      <c r="J202" s="484"/>
      <c r="K202" s="484"/>
      <c r="L202" s="484"/>
      <c r="M202" s="484"/>
      <c r="N202" s="484"/>
      <c r="O202" s="485"/>
      <c r="P202" s="499"/>
      <c r="Q202" s="483">
        <f>IF(Sub3Yr1 &gt; 25000, Sub3Yr1 - 25000, 0)</f>
        <v>0</v>
      </c>
      <c r="R202" s="88">
        <f>IF(ExclSub3Yr1 &gt; 0, Sub3Yr2, IF(Sub3Yr1 + Sub3Yr2 &gt; 25000, Sub3Yr1 + Sub3Yr2 - 25000, 0))</f>
        <v>0</v>
      </c>
      <c r="S202" s="88">
        <f>IF(ExclSub3Yr1 + ExclSub3Yr2 &gt; 0, Sub3Yr3, IF(Sub3Yr1 + Sub3Yr2 + Sub3Yr3 &gt; 25000, Sub3Yr1 + Sub3Yr2 + Sub3Yr3 - 25000, 0))</f>
        <v>0</v>
      </c>
      <c r="T202" s="89">
        <f t="shared" si="77"/>
        <v>0</v>
      </c>
      <c r="U202" s="371">
        <f t="shared" si="78"/>
        <v>0</v>
      </c>
      <c r="V202" s="254">
        <f>IF(cs.Sub3Yr1 &gt; 25000, cs.Sub3Yr1 - 25000, 0)</f>
        <v>0</v>
      </c>
      <c r="W202" s="252">
        <f>IF(cs.ExclSub3Yr1 &gt; 0, cs.Sub3Yr2, IF(cs.Sub3Yr1 + cs.Sub3Yr2 &gt; 25000, cs.Sub3Yr1 + cs.Sub3Yr2 - 25000,0))</f>
        <v>0</v>
      </c>
      <c r="X202" s="252">
        <f>IF((cs.ExclSub3Yr1 + cs.ExclSub3Yr2) &gt; 0, cs.Sub3Yr3, IF(cs.Sub3Yr1 + cs.Sub3Yr2 + cs.Sub3Yr3 &gt; 25000, cs.Sub3Yr1 + cs.Sub3Yr2 + cs.Sub3Yr3 - 25000,0))</f>
        <v>0</v>
      </c>
      <c r="Y202" s="253">
        <f t="shared" si="79"/>
        <v>0</v>
      </c>
      <c r="AA202" s="587"/>
      <c r="AB202" s="91" t="s">
        <v>243</v>
      </c>
      <c r="AC202" s="93"/>
      <c r="AD202" s="690" t="s">
        <v>244</v>
      </c>
      <c r="AE202" s="690"/>
      <c r="AF202" s="690"/>
      <c r="AG202" s="690"/>
      <c r="AH202" s="690"/>
      <c r="AI202" s="151"/>
      <c r="AJ202" s="151"/>
      <c r="AM202" s="34"/>
      <c r="AN202" s="34"/>
      <c r="AO202" s="159"/>
    </row>
    <row r="203" spans="2:42" ht="33" hidden="1" customHeight="1" outlineLevel="1" x14ac:dyDescent="0.3">
      <c r="B203" s="17"/>
      <c r="C203" s="453" t="s">
        <v>247</v>
      </c>
      <c r="D203" s="61" t="s">
        <v>242</v>
      </c>
      <c r="E203" s="688"/>
      <c r="F203" s="688"/>
      <c r="G203" s="688"/>
      <c r="H203" s="688"/>
      <c r="I203" s="689"/>
      <c r="J203" s="482"/>
      <c r="K203" s="482"/>
      <c r="L203" s="482"/>
      <c r="M203" s="482"/>
      <c r="N203" s="482"/>
      <c r="O203" s="163"/>
      <c r="P203" s="500"/>
      <c r="Q203" s="518"/>
      <c r="R203" s="519"/>
      <c r="S203" s="519"/>
      <c r="T203" s="87">
        <f t="shared" si="77"/>
        <v>0</v>
      </c>
      <c r="U203" s="371">
        <f t="shared" si="78"/>
        <v>0</v>
      </c>
      <c r="V203" s="286"/>
      <c r="W203" s="275"/>
      <c r="X203" s="275"/>
      <c r="Y203" s="257">
        <f t="shared" si="79"/>
        <v>0</v>
      </c>
      <c r="AA203" s="588" t="s">
        <v>247</v>
      </c>
      <c r="AB203" s="61" t="s">
        <v>242</v>
      </c>
      <c r="AC203" s="34"/>
      <c r="AD203" s="97"/>
      <c r="AE203" s="97"/>
      <c r="AF203" s="97"/>
      <c r="AG203" s="97"/>
      <c r="AH203" s="97"/>
      <c r="AM203" s="34"/>
      <c r="AN203" s="34"/>
      <c r="AO203" s="159"/>
    </row>
    <row r="204" spans="2:42" ht="33" hidden="1" customHeight="1" outlineLevel="1" thickBot="1" x14ac:dyDescent="0.3">
      <c r="B204" s="17"/>
      <c r="C204" s="92"/>
      <c r="D204" s="91" t="s">
        <v>243</v>
      </c>
      <c r="E204" s="684" t="s">
        <v>244</v>
      </c>
      <c r="F204" s="684"/>
      <c r="G204" s="684"/>
      <c r="H204" s="684"/>
      <c r="I204" s="685"/>
      <c r="J204" s="484"/>
      <c r="K204" s="484"/>
      <c r="L204" s="484"/>
      <c r="M204" s="484"/>
      <c r="N204" s="484"/>
      <c r="O204" s="485"/>
      <c r="P204" s="499"/>
      <c r="Q204" s="483">
        <f>IF(Sub4Yr1 &gt; 25000, Sub4Yr1 - 25000, 0)</f>
        <v>0</v>
      </c>
      <c r="R204" s="88">
        <f>IF(ExclSub4Yr1&gt;0,Sub4Yr2,IF(Sub4Yr1+Sub4Yr2&gt;25000,Sub4Yr1+Sub4Yr2-25000,0))</f>
        <v>0</v>
      </c>
      <c r="S204" s="88">
        <f>IF(ExclSub4Yr1 + ExclSub4Yr2 &gt; 0, Sub4Yr3, IF(Sub4Yr1 + Sub4Yr2 + Sub4Yr3 &gt; 25000, Sub4Yr1 + Sub4Yr2 + Sub4Yr3 - 25000, 0))</f>
        <v>0</v>
      </c>
      <c r="T204" s="89">
        <f t="shared" si="77"/>
        <v>0</v>
      </c>
      <c r="U204" s="371">
        <f t="shared" si="78"/>
        <v>0</v>
      </c>
      <c r="V204" s="251">
        <f>IF(cs.Sub4Yr1 &gt; 25000, cs.Sub4Yr1 - 25000, 0)</f>
        <v>0</v>
      </c>
      <c r="W204" s="252">
        <f>IF(cs.ExclSub4Yr1 &gt; 0, cs.Sub4Yr2, IF(cs.Sub4Yr1 + cs.Sub4Yr2 &gt; 25000, cs.Sub4Yr1 + cs.Sub4Yr2 - 25000,0))</f>
        <v>0</v>
      </c>
      <c r="X204" s="252">
        <f>IF((cs.ExclSub4Yr1 + cs.ExclSub4Yr2) &gt; 0, cs.Sub4Yr3,IF(cs.Sub4Yr1 + cs.Sub4Yr2 + cs.Sub4Yr3 &gt; 25000, cs.Sub4Yr1 + cs.Sub4Yr2 + cs.Sub4Yr3 - 25000,0))</f>
        <v>0</v>
      </c>
      <c r="Y204" s="253">
        <f t="shared" si="79"/>
        <v>0</v>
      </c>
      <c r="AA204" s="589"/>
      <c r="AB204" s="91" t="s">
        <v>243</v>
      </c>
      <c r="AC204" s="93"/>
      <c r="AD204" s="690" t="s">
        <v>244</v>
      </c>
      <c r="AE204" s="690"/>
      <c r="AF204" s="690"/>
      <c r="AG204" s="690"/>
      <c r="AH204" s="690"/>
      <c r="AI204" s="151"/>
      <c r="AJ204" s="151"/>
      <c r="AM204" s="34"/>
      <c r="AN204" s="34"/>
      <c r="AO204" s="159"/>
    </row>
    <row r="205" spans="2:42" ht="33" hidden="1" customHeight="1" outlineLevel="1" x14ac:dyDescent="0.3">
      <c r="B205" s="16"/>
      <c r="C205" s="452" t="s">
        <v>248</v>
      </c>
      <c r="D205" s="61" t="s">
        <v>242</v>
      </c>
      <c r="E205" s="686"/>
      <c r="F205" s="686"/>
      <c r="G205" s="686"/>
      <c r="H205" s="686"/>
      <c r="I205" s="687"/>
      <c r="J205" s="481"/>
      <c r="K205" s="481"/>
      <c r="L205" s="481"/>
      <c r="M205" s="481"/>
      <c r="N205" s="481"/>
      <c r="O205" s="164"/>
      <c r="P205" s="498"/>
      <c r="Q205" s="518"/>
      <c r="R205" s="519"/>
      <c r="S205" s="519"/>
      <c r="T205" s="87">
        <f t="shared" si="77"/>
        <v>0</v>
      </c>
      <c r="U205" s="371">
        <f t="shared" si="78"/>
        <v>0</v>
      </c>
      <c r="V205" s="286"/>
      <c r="W205" s="275"/>
      <c r="X205" s="275"/>
      <c r="Y205" s="257">
        <f t="shared" si="79"/>
        <v>0</v>
      </c>
      <c r="AA205" s="586" t="s">
        <v>248</v>
      </c>
      <c r="AB205" s="61" t="s">
        <v>242</v>
      </c>
      <c r="AC205" s="34"/>
      <c r="AD205" s="97"/>
      <c r="AE205" s="97"/>
      <c r="AF205" s="97"/>
      <c r="AG205" s="97"/>
      <c r="AH205" s="97"/>
      <c r="AM205" s="34"/>
      <c r="AN205" s="34"/>
      <c r="AO205" s="159"/>
    </row>
    <row r="206" spans="2:42" ht="33" hidden="1" customHeight="1" outlineLevel="1" thickBot="1" x14ac:dyDescent="0.3">
      <c r="B206" s="16"/>
      <c r="C206" s="90"/>
      <c r="D206" s="91" t="s">
        <v>243</v>
      </c>
      <c r="E206" s="684" t="s">
        <v>244</v>
      </c>
      <c r="F206" s="684"/>
      <c r="G206" s="684"/>
      <c r="H206" s="684"/>
      <c r="I206" s="685"/>
      <c r="J206" s="484"/>
      <c r="K206" s="484"/>
      <c r="L206" s="484"/>
      <c r="M206" s="484"/>
      <c r="N206" s="484"/>
      <c r="O206" s="485"/>
      <c r="P206" s="499"/>
      <c r="Q206" s="483">
        <f>IF(Sub5Yr1 &gt; 25000, Sub5Yr1 - 25000, 0)</f>
        <v>0</v>
      </c>
      <c r="R206" s="88">
        <f>IF(ExclSub5Yr1&gt;0,Sub5Yr2,IF(Sub5Yr1+Sub5Yr2&gt;25000,Sub5Yr1+Sub5Yr2-25000,0))</f>
        <v>0</v>
      </c>
      <c r="S206" s="88">
        <f>IF(ExclSub5Yr1 + ExclSub5Yr2 &gt; 0, Sub5Yr3, IF(Sub5Yr1 + Sub5Yr2 + Sub5Yr3 &gt; 25000, Sub5Yr1 + Sub5Yr2 + Sub5Yr3 - 25000, 0))</f>
        <v>0</v>
      </c>
      <c r="T206" s="89">
        <f t="shared" si="77"/>
        <v>0</v>
      </c>
      <c r="U206" s="371">
        <f t="shared" si="78"/>
        <v>0</v>
      </c>
      <c r="V206" s="254">
        <f>IF(cs.Sub5Yr1 &gt; 25000, cs.Sub5Yr1 - 25000, 0)</f>
        <v>0</v>
      </c>
      <c r="W206" s="252">
        <f>IF(cs.ExclSub5Yr1 &gt; 0, cs.Sub5Yr2, IF(cs.Sub5Yr1 + cs.Sub5Yr2 &gt; 25000, cs.Sub5Yr1 + cs.Sub5Yr2 - 25000, 0))</f>
        <v>0</v>
      </c>
      <c r="X206" s="252">
        <f>IF((cs.ExclSub5Yr1 + cs.ExclSub5Yr2) &gt; 0, cs.Sub5Yr3, IF(cs.Sub5Yr1 + cs.Sub5Yr2 + cs.Sub5Yr3 &gt; 25000, cs.Sub5Yr1 + cs.Sub5Yr2 + cs.Sub5Yr3 - 25000,0))</f>
        <v>0</v>
      </c>
      <c r="Y206" s="253">
        <f t="shared" si="79"/>
        <v>0</v>
      </c>
      <c r="AA206" s="587"/>
      <c r="AB206" s="91" t="s">
        <v>243</v>
      </c>
      <c r="AC206" s="93"/>
      <c r="AD206" s="690" t="s">
        <v>244</v>
      </c>
      <c r="AE206" s="690"/>
      <c r="AF206" s="690"/>
      <c r="AG206" s="690"/>
      <c r="AH206" s="690"/>
      <c r="AI206" s="151"/>
      <c r="AJ206" s="151"/>
      <c r="AM206" s="34"/>
      <c r="AN206" s="34"/>
      <c r="AO206" s="159"/>
    </row>
    <row r="207" spans="2:42" ht="38.25" customHeight="1" collapsed="1" thickBot="1" x14ac:dyDescent="0.3">
      <c r="B207" s="678" t="s">
        <v>249</v>
      </c>
      <c r="C207" s="678"/>
      <c r="D207" s="678"/>
      <c r="E207" s="678"/>
      <c r="F207" s="678"/>
      <c r="G207" s="678"/>
      <c r="H207" s="678"/>
      <c r="I207" s="678"/>
      <c r="J207" s="455"/>
      <c r="K207" s="455"/>
      <c r="L207" s="455"/>
      <c r="M207" s="455"/>
      <c r="N207" s="455"/>
      <c r="O207" s="455"/>
      <c r="P207" s="455"/>
      <c r="Q207" s="456">
        <f>SUM(Sub1Yr1,Sub2Yr1,Sub3Yr1,Sub4Yr1,Sub5Yr1)</f>
        <v>0</v>
      </c>
      <c r="R207" s="456">
        <f>SUM(Sub1Yr2,Sub2Yr2,Sub3Yr2,Sub4Yr2,Sub5Yr2)</f>
        <v>0</v>
      </c>
      <c r="S207" s="456">
        <f>SUM(Sub1Yr3,Sub2Yr3,Sub3Yr3,Sub4Yr3,Sub5Yr3)</f>
        <v>0</v>
      </c>
      <c r="T207" s="456">
        <f>SUM(Sub1TOT,Sub2TOT,Sub3TOT,Sub4TOT,Sub5TOT)</f>
        <v>0</v>
      </c>
      <c r="U207" s="371">
        <f t="shared" si="78"/>
        <v>0</v>
      </c>
      <c r="V207" s="457">
        <f>SUM(cs.Sub1Yr1,cs.Sub2Yr1,cs.Sub3Yr1,cs.Sub4Yr1,cs.Sub5Yr1)</f>
        <v>0</v>
      </c>
      <c r="W207" s="458">
        <f>SUM(cs.Sub1Yr2,cs.Sub2Yr2,cs.Sub3Yr2,cs.Sub4Yr2,cs.Sub5Yr2)</f>
        <v>0</v>
      </c>
      <c r="X207" s="458">
        <f>SUM(cs.Sub1Yr3,cs.Sub2Yr3,cs.Sub3Yr3,cs.Sub4Yr3,cs.Sub5Yr3)</f>
        <v>0</v>
      </c>
      <c r="Y207" s="459">
        <f>SUM(Y197,Y199,Y201,Y203,Y205)</f>
        <v>0</v>
      </c>
      <c r="Z207" s="460"/>
      <c r="AA207" s="679" t="s">
        <v>249</v>
      </c>
      <c r="AB207" s="679"/>
      <c r="AC207" s="679"/>
      <c r="AD207" s="679"/>
      <c r="AE207" s="679"/>
      <c r="AF207" s="679"/>
      <c r="AG207" s="679"/>
      <c r="AH207" s="679"/>
      <c r="AI207" s="679"/>
      <c r="AJ207" s="679"/>
      <c r="AK207" s="679"/>
      <c r="AL207" s="679"/>
      <c r="AM207" s="679"/>
      <c r="AN207" s="679"/>
      <c r="AO207" s="680"/>
      <c r="AP207" s="40"/>
    </row>
    <row r="208" spans="2:42" ht="42" customHeight="1" x14ac:dyDescent="0.25">
      <c r="B208" s="681" t="s">
        <v>250</v>
      </c>
      <c r="C208" s="681"/>
      <c r="D208" s="681"/>
      <c r="E208" s="681"/>
      <c r="F208" s="681"/>
      <c r="G208" s="681"/>
      <c r="H208" s="681"/>
      <c r="I208" s="681"/>
      <c r="J208" s="461"/>
      <c r="K208" s="461"/>
      <c r="L208" s="461"/>
      <c r="M208" s="461"/>
      <c r="N208" s="461"/>
      <c r="O208" s="461"/>
      <c r="P208" s="461"/>
      <c r="Q208" s="462">
        <f>SrSalary1 + OtherPersonnnelSalary1 + SrFringe1 + Oth.PerBenefitsTuition1 + Equip1 + Travel1 + PSCYr1 + OtherDirCosts1 + SubAwrdTtl1</f>
        <v>0</v>
      </c>
      <c r="R208" s="462">
        <f>SrSalary2 + OtherPersonnelSalary2 + SrFringe2 + Oth.PerBenefitsTuition2 + Equip2 + Travel2 + PSCYr2 + OtherDirCosts2 + SubAwrdTtl2</f>
        <v>0</v>
      </c>
      <c r="S208" s="462">
        <f>srSalary3 + OtherPersonnelSalary3 + SrFringe3 + Oth.PerBenefitsTuition3 + Equip3 + Travel3 + PSCYr3 + OtherDirCosts3 + SubAwrdTtl3</f>
        <v>0</v>
      </c>
      <c r="T208" s="463">
        <f>SUM(TDCYr1, TDCYr2, TDCYr3)</f>
        <v>0</v>
      </c>
      <c r="U208" s="375">
        <f t="shared" si="78"/>
        <v>0</v>
      </c>
      <c r="V208" s="464">
        <f>SUM(cs.SrSalary1,  cs.Tot.Oth.PerSalary1, cs.SrFringe1, cs.Tot.Oth.Per.Ben.Tuit1, cs.Equip1, cs.Travel1, cs.PSCYr1, cs.OthDirCost1, cs.SubTot1)</f>
        <v>0</v>
      </c>
      <c r="W208" s="465">
        <f>SUM(cs.SrSalary2,  cs.Tot.Oth.PerSalary2, cs.SrFringe2, cs.Tot.Oth.Per.Ben.Tuit2, cs.Equip2, cs.Travel2, cs.PSCYr2, cs.OthDirCost2, cs.SubTot2)</f>
        <v>0</v>
      </c>
      <c r="X208" s="465">
        <f>SUM(cs.SrSalary3,  cs.Tot.Oth.PerSalary3, cs.SrFringe3, cs.Tot.Oth.Per.Ben.Tuit3, cs.Equip3, cs.Travel3, cs.PSCYr3, cs.OthDirCost3, cs.SubTot3)</f>
        <v>0</v>
      </c>
      <c r="Y208" s="465">
        <f>SUM(V208:X208)</f>
        <v>0</v>
      </c>
      <c r="Z208" s="466"/>
      <c r="AA208" s="682" t="s">
        <v>250</v>
      </c>
      <c r="AB208" s="682"/>
      <c r="AC208" s="682"/>
      <c r="AD208" s="682"/>
      <c r="AE208" s="682"/>
      <c r="AF208" s="682"/>
      <c r="AG208" s="682"/>
      <c r="AH208" s="682"/>
      <c r="AI208" s="682"/>
      <c r="AJ208" s="682"/>
      <c r="AK208" s="682"/>
      <c r="AL208" s="682"/>
      <c r="AM208" s="682"/>
      <c r="AN208" s="682"/>
      <c r="AO208" s="683"/>
      <c r="AP208" s="40"/>
    </row>
    <row r="209" spans="2:42" ht="56.25" customHeight="1" thickBot="1" x14ac:dyDescent="0.3">
      <c r="B209" s="665" t="s">
        <v>251</v>
      </c>
      <c r="C209" s="665"/>
      <c r="D209" s="665"/>
      <c r="E209" s="665"/>
      <c r="F209" s="665"/>
      <c r="G209" s="665"/>
      <c r="H209" s="665"/>
      <c r="I209" s="665"/>
      <c r="J209" s="665"/>
      <c r="K209" s="665"/>
      <c r="L209" s="665"/>
      <c r="M209" s="665"/>
      <c r="N209" s="665"/>
      <c r="O209" s="665"/>
      <c r="P209" s="665"/>
      <c r="Q209" s="665"/>
      <c r="R209" s="665"/>
      <c r="S209" s="665"/>
      <c r="T209" s="665"/>
      <c r="U209" s="371"/>
      <c r="V209" s="666" t="s">
        <v>251</v>
      </c>
      <c r="W209" s="666"/>
      <c r="X209" s="666"/>
      <c r="Y209" s="666"/>
      <c r="Z209" s="666"/>
      <c r="AA209" s="666"/>
      <c r="AB209" s="666"/>
      <c r="AC209" s="666"/>
      <c r="AD209" s="666"/>
      <c r="AE209" s="666"/>
      <c r="AF209" s="666"/>
      <c r="AG209" s="666"/>
      <c r="AH209" s="666"/>
      <c r="AI209" s="666"/>
      <c r="AJ209" s="666"/>
      <c r="AK209" s="666"/>
      <c r="AL209" s="666"/>
      <c r="AM209" s="666"/>
      <c r="AN209" s="666"/>
      <c r="AO209" s="666"/>
    </row>
    <row r="210" spans="2:42" ht="38.25" customHeight="1" thickTop="1" thickBot="1" x14ac:dyDescent="0.3">
      <c r="B210" s="667" t="s">
        <v>252</v>
      </c>
      <c r="C210" s="667"/>
      <c r="D210" s="667"/>
      <c r="E210" s="667"/>
      <c r="F210" s="667"/>
      <c r="G210" s="667"/>
      <c r="H210" s="667"/>
      <c r="I210" s="667"/>
      <c r="J210" s="327"/>
      <c r="K210" s="255"/>
      <c r="L210" s="255"/>
      <c r="M210" s="255"/>
      <c r="N210" s="255"/>
      <c r="O210" s="255"/>
      <c r="P210" s="255"/>
      <c r="Q210" s="256">
        <f>IF(
    RateOptions="OtherTDC",
    TDCYr1,
    IF(
        RateOptions="Wages&amp;Fringe Only",
        TDCYr1-Tuition1-Equip1-PSCYr1-OtherDirCosts1-Travel1-SUM(SubsYr1Excl),
        TDCYr1-Tuition1-Equip1-PSCYr1-SUM(SubsYr1Excl)
    )
)</f>
        <v>0</v>
      </c>
      <c r="R210" s="256">
        <f>IF(
    RateOptions="OtherTDC",
    TDCYr2,
    IF(
        RateOptions="Wages&amp;Fringe Only",
        TDCYr2-Tuition2-Equip2-PSCYr2-OtherDirCosts2-Travel2-SUM(SubsYr2Excl),
        TDCYr2-Tuition2-Equip2-PSCYr2-SUM(SubsYr2Excl)
    )
)</f>
        <v>0</v>
      </c>
      <c r="S210" s="256">
        <f>IF(
    RateOptions="OtherTDC",
    TDCYr3,
    IF(
        RateOptions="Wages&amp;Fringe Only",
        TDCYr3-Tuition3-Equip3-PSCYr3-OtherDirCosts3-Travel3-SUM(SubsYr3Excl),
        TDCYr3-Tuition3-Equip3-PSCYr3-SUM(SubsYr3Excl)
    )
)</f>
        <v>0</v>
      </c>
      <c r="T210" s="256">
        <f>SUM(IDCBase1,IDCBase2,IDCBase3)</f>
        <v>0</v>
      </c>
      <c r="U210" s="375">
        <f>IDCBaseTOT+Y210</f>
        <v>0</v>
      </c>
      <c r="V210" s="467">
        <f>IF(
       cs.RateOptions="OtherTDC",
       cs.TDCY1,
       IF(
             cs.RateOptions="Wages&amp;Fringe Only",
              cs.TDCY1-cs.GRA.Tuition1-cs.Equip1-cs.Travel1-cs.PSCYr1-cs.OthDirCost1-SUM(cs.SubsExcl1),
              cs.TDCY1-cs.GRA.Tuition1-cs.Equip1-cs.PSCYr1-SUM(cs.SubsExcl1)
           )
)</f>
        <v>0</v>
      </c>
      <c r="W210" s="467">
        <f>IF(
       cs.RateOptions="OtherTDC",
       cs.TDCY2,
       IF(
             cs.RateOptions="Wages&amp;Fringe Only",
              cs.TDCY2-cs.GRA.Tuition2-cs.Equip2-cs.Travel2-cs.PSCYr2-cs.OthDirCost2-SUM(cs.SubsExcl2),
              cs.TDCY2-cs.GRA.Tuition2-cs.Equip2-cs.PSCYr2-SUM(cs.SubsExcl1)
           )
)</f>
        <v>0</v>
      </c>
      <c r="X210" s="467">
        <f>IF(
       cs.RateOptions="OtherTDC",
       cs.TDCY3,
       IF(
             cs.RateOptions="Wages&amp;Fringe Only",
              cs.TDCY3-cs.GRA.Tuition3-cs.Equip3-cs.Travel3-cs.PSCYr3-cs.OthDirCost3-SUM(cs.SubsExcl3),
              cs.TDCY3-cs.GRA.Tuition3-cs.Equip3-cs.PSCYr3-SUM(cs.SubsExcl3)
           )
)</f>
        <v>0</v>
      </c>
      <c r="Y210" s="467">
        <f>SUM(V210:X210)</f>
        <v>0</v>
      </c>
      <c r="Z210" s="668" t="s">
        <v>252</v>
      </c>
      <c r="AA210" s="668"/>
      <c r="AB210" s="668"/>
      <c r="AC210" s="222"/>
      <c r="AD210" s="222"/>
      <c r="AE210" s="222"/>
      <c r="AF210" s="222"/>
      <c r="AG210" s="222"/>
      <c r="AH210" s="222"/>
      <c r="AI210" s="222"/>
      <c r="AJ210" s="222"/>
      <c r="AK210" s="222"/>
      <c r="AL210" s="222"/>
      <c r="AM210" s="222"/>
      <c r="AN210" s="222"/>
      <c r="AO210" s="222"/>
      <c r="AP210" s="40"/>
    </row>
    <row r="211" spans="2:42" ht="49.5" customHeight="1" thickBot="1" x14ac:dyDescent="0.3">
      <c r="B211" s="669" t="s">
        <v>253</v>
      </c>
      <c r="C211" s="669"/>
      <c r="D211" s="674" t="s">
        <v>254</v>
      </c>
      <c r="E211" s="675"/>
      <c r="F211" s="515" cm="1">
        <f t="array" ref="F211">_xlfn.IFS(RateOptions = Rates!B3, Rates!C3,
RateOptions = Rates!B4, Rates!C4,
RateOptions = Rates!B5, Rates!C5,
RateOptions = Rates!B6, Rates!C6,
RateOptions = Rates!B7, Rates!C7,
RateOptions = Rates!B8, Rates!C8,
RateOptions = Rates!B9, Rates!C9,
RateOptions = Rates!B10, Rates!C10,
RateOptions = Rates!B11, Rates!C11,
RateOptions = Rates!B12, Rates!C12)</f>
        <v>0.52500000000000002</v>
      </c>
      <c r="G211" s="676" t="s">
        <v>255</v>
      </c>
      <c r="H211" s="677"/>
      <c r="I211" s="577">
        <v>0</v>
      </c>
      <c r="J211" s="513"/>
      <c r="K211" s="513"/>
      <c r="L211" s="513"/>
      <c r="M211" s="513"/>
      <c r="N211" s="513"/>
      <c r="O211" s="513"/>
      <c r="P211" s="513"/>
      <c r="Q211" s="514" cm="1">
        <f t="array" ref="Q211">IF(IDCRate &lt;&gt;  0, IDCRate * IDCBase1, OtherRate * IDCBase1)</f>
        <v>0</v>
      </c>
      <c r="R211" s="514" cm="1">
        <f t="array" ref="R211">IF(IDCRate &lt;&gt; 0, IDCRate * IDCBase2, OtherRate * IDCBase2)</f>
        <v>0</v>
      </c>
      <c r="S211" s="514">
        <f>IF(IDCRate &lt;&gt; 0, IDCRate * IDCBase3, OtherRate * IDCBase3)</f>
        <v>0</v>
      </c>
      <c r="T211" s="514">
        <f>SUM(IDCYr1,IDCYr2,IDCYr3)</f>
        <v>0</v>
      </c>
      <c r="U211" s="375">
        <f>IDCTOT+Y211</f>
        <v>0</v>
      </c>
      <c r="V211" s="468">
        <f>IF(cs.IDCRate &lt;&gt; 0, cs.IDCRate * cs.IDCbase1, cs.OtherRates * cs.IDCbase1)</f>
        <v>0</v>
      </c>
      <c r="W211" s="469">
        <f>IF(cs.IDCRate &lt;&gt; 0, cs.IDCRate * cs.IDCbase2, cs.OtherRates * cs.IDCbase2)</f>
        <v>0</v>
      </c>
      <c r="X211" s="469">
        <f>IF(cs.IDCRate &lt;&gt; 0, cs.IDCRate * cs.IDCbase3, cs.OtherRates * cs.IDCbase3)</f>
        <v>0</v>
      </c>
      <c r="Y211" s="469">
        <f>SUM(V211:X211)</f>
        <v>0</v>
      </c>
      <c r="Z211" s="670" t="s">
        <v>253</v>
      </c>
      <c r="AA211" s="670"/>
      <c r="AB211" s="670"/>
      <c r="AC211" s="470"/>
      <c r="AD211" s="671" t="s">
        <v>254</v>
      </c>
      <c r="AE211" s="671"/>
      <c r="AF211" s="671"/>
      <c r="AG211" s="471" cm="1">
        <f t="array" ref="AG211">_xlfn.IFS(cs.RateOptions = Rates!B3, Rates!C3,
cs.RateOptions = Rates!B4, Rates!C4,
cs.RateOptions = Rates!B5, Rates!C5,
cs.RateOptions = Rates!B6, Rates!C6,
cs.RateOptions = Rates!B7, Rates!C7,
cs.RateOptions = Rates!B8, Rates!C8,
cs.RateOptions = Rates!B9, Rates!C9,
cs.RateOptions = Rates!B10, Rates!C10,
cs.RateOptions = Rates!B11, Rates!C11,
cs.RateOptions = Rates!B12, Rates!C12)</f>
        <v>0.52500000000000002</v>
      </c>
      <c r="AH211" s="672" t="s">
        <v>255</v>
      </c>
      <c r="AI211" s="672"/>
      <c r="AJ211" s="673">
        <v>0</v>
      </c>
      <c r="AK211" s="673"/>
      <c r="AL211" s="472"/>
      <c r="AM211" s="472"/>
      <c r="AN211" s="472"/>
      <c r="AO211" s="473"/>
    </row>
    <row r="212" spans="2:42" ht="66" hidden="1" customHeight="1" outlineLevel="1" thickBot="1" x14ac:dyDescent="0.3">
      <c r="B212" s="656" t="s">
        <v>256</v>
      </c>
      <c r="C212" s="657"/>
      <c r="D212" s="657"/>
      <c r="E212" s="657"/>
      <c r="F212" s="657"/>
      <c r="G212" s="657"/>
      <c r="H212" s="657"/>
      <c r="I212" s="657"/>
      <c r="J212" s="657"/>
      <c r="K212" s="657"/>
      <c r="L212" s="657"/>
      <c r="M212" s="657"/>
      <c r="N212" s="657"/>
      <c r="O212" s="657"/>
      <c r="P212" s="657"/>
      <c r="Q212" s="657"/>
      <c r="R212" s="657"/>
      <c r="S212" s="657"/>
      <c r="T212" s="658"/>
      <c r="U212" s="371">
        <f>Y212</f>
        <v>0</v>
      </c>
      <c r="V212" s="474">
        <f>IF(cs.NICRARate = 0, 0, (cs.NICRARate*IDCBase1) -IDCYr1)</f>
        <v>0</v>
      </c>
      <c r="W212" s="475">
        <f>IF(cs.NICRARate = 0,0, (cs.NICRARate*IDCBase2) - IDCYr2)</f>
        <v>0</v>
      </c>
      <c r="X212" s="475">
        <f>IF(cs.NICRARate = 0,0, (cs.NICRARate*IDCBase3) - IDCYr3)</f>
        <v>0</v>
      </c>
      <c r="Y212" s="476">
        <f>SUM(V212:X212)</f>
        <v>0</v>
      </c>
      <c r="Z212" s="659" t="s">
        <v>257</v>
      </c>
      <c r="AA212" s="659"/>
      <c r="AB212" s="660" t="s">
        <v>258</v>
      </c>
      <c r="AC212" s="660"/>
      <c r="AD212" s="660"/>
      <c r="AE212" s="660"/>
      <c r="AF212" s="661" t="s">
        <v>259</v>
      </c>
      <c r="AG212" s="662"/>
      <c r="AH212" s="291">
        <v>0</v>
      </c>
      <c r="AI212" s="292"/>
      <c r="AJ212" s="292"/>
      <c r="AK212" s="292"/>
      <c r="AL212" s="292"/>
      <c r="AM212" s="292"/>
      <c r="AN212" s="292"/>
      <c r="AO212" s="293"/>
    </row>
    <row r="213" spans="2:42" ht="62.25" customHeight="1" collapsed="1" thickBot="1" x14ac:dyDescent="0.35">
      <c r="B213" s="663" t="s">
        <v>260</v>
      </c>
      <c r="C213" s="663"/>
      <c r="D213" s="663"/>
      <c r="E213" s="663"/>
      <c r="F213" s="663"/>
      <c r="G213" s="663"/>
      <c r="H213" s="663"/>
      <c r="I213" s="663"/>
      <c r="J213" s="326"/>
      <c r="K213" s="235"/>
      <c r="L213" s="235"/>
      <c r="M213" s="235"/>
      <c r="N213" s="235"/>
      <c r="O213" s="235"/>
      <c r="P213" s="235"/>
      <c r="Q213" s="236">
        <f>TDCYr1+IDCYr1</f>
        <v>0</v>
      </c>
      <c r="R213" s="236">
        <f>TDCYr2+IDCYr2</f>
        <v>0</v>
      </c>
      <c r="S213" s="236">
        <f>TDCYr3 + IDCYr3</f>
        <v>0</v>
      </c>
      <c r="T213" s="236">
        <f>TDCTOT+IDCTOT</f>
        <v>0</v>
      </c>
      <c r="U213" s="371">
        <f>TotalCostsTOT+Y213</f>
        <v>0</v>
      </c>
      <c r="V213" s="295">
        <f>(cs.TDCY1 + cs.IDCYr1) + cs.ForgoneIdcCalculation1</f>
        <v>0</v>
      </c>
      <c r="W213" s="295">
        <f>(cs.TDCY2 + cs.IDCYr2) + cs.ForgoneIdcCalculation2</f>
        <v>0</v>
      </c>
      <c r="X213" s="576">
        <f>(cs.TDCY3 + cs.IDCYr3) + cs.ForgoneIdcCalculation3</f>
        <v>0</v>
      </c>
      <c r="Y213" s="576">
        <f>(cs.TDCTot + cs.IDCTOT) + cs.ForgoneIdcCalculationTot</f>
        <v>0</v>
      </c>
      <c r="Z213" s="664" t="s">
        <v>261</v>
      </c>
      <c r="AA213" s="664"/>
      <c r="AB213" s="664"/>
      <c r="AC213" s="296"/>
      <c r="AD213" s="296"/>
      <c r="AE213" s="296"/>
      <c r="AF213" s="296"/>
      <c r="AG213" s="296"/>
      <c r="AH213" s="296"/>
      <c r="AI213" s="296"/>
      <c r="AJ213" s="296"/>
      <c r="AK213" s="296"/>
      <c r="AL213" s="296"/>
      <c r="AM213" s="296"/>
      <c r="AN213" s="296"/>
      <c r="AO213" s="296"/>
      <c r="AP213" s="40"/>
    </row>
    <row r="214" spans="2:42" ht="25.5" customHeight="1" thickTop="1" x14ac:dyDescent="0.2">
      <c r="G214" s="59"/>
    </row>
    <row r="215" spans="2:42" ht="25.5" customHeight="1" x14ac:dyDescent="0.2">
      <c r="G215" s="60"/>
    </row>
  </sheetData>
  <mergeCells count="430">
    <mergeCell ref="B16:C16"/>
    <mergeCell ref="B15:C15"/>
    <mergeCell ref="B14:C14"/>
    <mergeCell ref="B114:N114"/>
    <mergeCell ref="B137:N137"/>
    <mergeCell ref="B151:N151"/>
    <mergeCell ref="B2:E2"/>
    <mergeCell ref="B10:C10"/>
    <mergeCell ref="B11:C11"/>
    <mergeCell ref="B12:C12"/>
    <mergeCell ref="B13:C13"/>
    <mergeCell ref="B30:C30"/>
    <mergeCell ref="B4:C4"/>
    <mergeCell ref="B5:C5"/>
    <mergeCell ref="D3:F3"/>
    <mergeCell ref="D4:F4"/>
    <mergeCell ref="B3:C3"/>
    <mergeCell ref="B9:I9"/>
    <mergeCell ref="B28:C28"/>
    <mergeCell ref="B27:C27"/>
    <mergeCell ref="B26:C26"/>
    <mergeCell ref="B25:C25"/>
    <mergeCell ref="B24:C24"/>
    <mergeCell ref="B23:C23"/>
    <mergeCell ref="B22:C22"/>
    <mergeCell ref="B21:C21"/>
    <mergeCell ref="B17:C17"/>
    <mergeCell ref="C101:D101"/>
    <mergeCell ref="C106:D106"/>
    <mergeCell ref="C111:D111"/>
    <mergeCell ref="B68:P68"/>
    <mergeCell ref="B20:C20"/>
    <mergeCell ref="B19:C19"/>
    <mergeCell ref="B18:C18"/>
    <mergeCell ref="B67:P67"/>
    <mergeCell ref="B84:C84"/>
    <mergeCell ref="B89:C89"/>
    <mergeCell ref="C102:D102"/>
    <mergeCell ref="C108:D108"/>
    <mergeCell ref="Q9:T9"/>
    <mergeCell ref="V9:AG9"/>
    <mergeCell ref="AF20:AG20"/>
    <mergeCell ref="J10:P11"/>
    <mergeCell ref="AI9:AO9"/>
    <mergeCell ref="AD10:AE30"/>
    <mergeCell ref="AF10:AG10"/>
    <mergeCell ref="AF11:AG11"/>
    <mergeCell ref="K12:O12"/>
    <mergeCell ref="AF12:AG12"/>
    <mergeCell ref="L13:M13"/>
    <mergeCell ref="N13:O13"/>
    <mergeCell ref="AF13:AG13"/>
    <mergeCell ref="L14:M14"/>
    <mergeCell ref="N14:O14"/>
    <mergeCell ref="AF14:AG14"/>
    <mergeCell ref="AF15:AG15"/>
    <mergeCell ref="K16:O16"/>
    <mergeCell ref="AF16:AG16"/>
    <mergeCell ref="L17:M17"/>
    <mergeCell ref="N17:O17"/>
    <mergeCell ref="AF17:AG17"/>
    <mergeCell ref="L18:M18"/>
    <mergeCell ref="N18:O18"/>
    <mergeCell ref="AF18:AG18"/>
    <mergeCell ref="AF19:AG19"/>
    <mergeCell ref="K20:O20"/>
    <mergeCell ref="L21:M21"/>
    <mergeCell ref="N21:O21"/>
    <mergeCell ref="AF21:AG21"/>
    <mergeCell ref="L22:M22"/>
    <mergeCell ref="N22:O22"/>
    <mergeCell ref="AF22:AG22"/>
    <mergeCell ref="AF23:AG23"/>
    <mergeCell ref="K24:O24"/>
    <mergeCell ref="AF24:AG24"/>
    <mergeCell ref="L25:M25"/>
    <mergeCell ref="N25:O25"/>
    <mergeCell ref="AF25:AG25"/>
    <mergeCell ref="L26:M26"/>
    <mergeCell ref="N26:O26"/>
    <mergeCell ref="AF26:AG26"/>
    <mergeCell ref="AF27:AG27"/>
    <mergeCell ref="K28:O28"/>
    <mergeCell ref="AF28:AG28"/>
    <mergeCell ref="K33:P53"/>
    <mergeCell ref="AD33:AE53"/>
    <mergeCell ref="B54:P54"/>
    <mergeCell ref="AA54:AO54"/>
    <mergeCell ref="B55:T55"/>
    <mergeCell ref="V55:AO55"/>
    <mergeCell ref="AA67:AO67"/>
    <mergeCell ref="M29:N29"/>
    <mergeCell ref="AF29:AG29"/>
    <mergeCell ref="M30:N30"/>
    <mergeCell ref="AF30:AG30"/>
    <mergeCell ref="B31:P31"/>
    <mergeCell ref="AA31:AO31"/>
    <mergeCell ref="B32:I32"/>
    <mergeCell ref="Q32:T32"/>
    <mergeCell ref="V32:AO32"/>
    <mergeCell ref="B29:C29"/>
    <mergeCell ref="AA68:AO68"/>
    <mergeCell ref="B69:T69"/>
    <mergeCell ref="V69:AO69"/>
    <mergeCell ref="B70:C70"/>
    <mergeCell ref="F70:P90"/>
    <mergeCell ref="Z70:AE90"/>
    <mergeCell ref="AF70:AG70"/>
    <mergeCell ref="B71:C71"/>
    <mergeCell ref="AF71:AG71"/>
    <mergeCell ref="B72:C72"/>
    <mergeCell ref="AF72:AG72"/>
    <mergeCell ref="B73:C73"/>
    <mergeCell ref="AF73:AG73"/>
    <mergeCell ref="B74:C74"/>
    <mergeCell ref="AF74:AG74"/>
    <mergeCell ref="B75:C75"/>
    <mergeCell ref="AF75:AG75"/>
    <mergeCell ref="B76:C76"/>
    <mergeCell ref="AF76:AG76"/>
    <mergeCell ref="B77:C77"/>
    <mergeCell ref="AF77:AG77"/>
    <mergeCell ref="B78:C78"/>
    <mergeCell ref="AF78:AG78"/>
    <mergeCell ref="B79:C79"/>
    <mergeCell ref="AF79:AG79"/>
    <mergeCell ref="B80:C80"/>
    <mergeCell ref="AF80:AG80"/>
    <mergeCell ref="B81:C81"/>
    <mergeCell ref="AF81:AG81"/>
    <mergeCell ref="B82:C82"/>
    <mergeCell ref="AF82:AG82"/>
    <mergeCell ref="B83:C83"/>
    <mergeCell ref="AF83:AG83"/>
    <mergeCell ref="AF84:AG84"/>
    <mergeCell ref="B85:C85"/>
    <mergeCell ref="AF85:AG85"/>
    <mergeCell ref="B86:C86"/>
    <mergeCell ref="AF86:AG86"/>
    <mergeCell ref="B87:C87"/>
    <mergeCell ref="AF87:AG87"/>
    <mergeCell ref="B88:C88"/>
    <mergeCell ref="AF88:AG88"/>
    <mergeCell ref="AF89:AG89"/>
    <mergeCell ref="B90:C90"/>
    <mergeCell ref="AF90:AG90"/>
    <mergeCell ref="B91:I91"/>
    <mergeCell ref="AA91:AO91"/>
    <mergeCell ref="B92:T92"/>
    <mergeCell ref="V92:AO92"/>
    <mergeCell ref="F93:P113"/>
    <mergeCell ref="Z93:AE113"/>
    <mergeCell ref="C94:D94"/>
    <mergeCell ref="AG94:AH94"/>
    <mergeCell ref="C95:D95"/>
    <mergeCell ref="AG95:AH95"/>
    <mergeCell ref="C96:D96"/>
    <mergeCell ref="AG96:AH96"/>
    <mergeCell ref="C97:D97"/>
    <mergeCell ref="AG97:AH97"/>
    <mergeCell ref="C98:D98"/>
    <mergeCell ref="AG98:AH98"/>
    <mergeCell ref="C99:D99"/>
    <mergeCell ref="AG99:AH99"/>
    <mergeCell ref="C100:D100"/>
    <mergeCell ref="AG100:AH100"/>
    <mergeCell ref="AG101:AH101"/>
    <mergeCell ref="AG102:AH102"/>
    <mergeCell ref="C103:D103"/>
    <mergeCell ref="AG103:AH103"/>
    <mergeCell ref="C104:D104"/>
    <mergeCell ref="AG104:AH104"/>
    <mergeCell ref="C105:D105"/>
    <mergeCell ref="AG105:AH105"/>
    <mergeCell ref="AG106:AH106"/>
    <mergeCell ref="C107:D107"/>
    <mergeCell ref="AG107:AH107"/>
    <mergeCell ref="AG108:AH108"/>
    <mergeCell ref="C109:D109"/>
    <mergeCell ref="AG109:AH109"/>
    <mergeCell ref="C110:D110"/>
    <mergeCell ref="AG110:AH110"/>
    <mergeCell ref="AG111:AH111"/>
    <mergeCell ref="C112:D112"/>
    <mergeCell ref="AG112:AH112"/>
    <mergeCell ref="C113:D113"/>
    <mergeCell ref="AG113:AH113"/>
    <mergeCell ref="AA114:AO114"/>
    <mergeCell ref="B115:T115"/>
    <mergeCell ref="V115:AO115"/>
    <mergeCell ref="F116:P136"/>
    <mergeCell ref="D119:E119"/>
    <mergeCell ref="AH119:AI119"/>
    <mergeCell ref="D120:E120"/>
    <mergeCell ref="AH120:AI120"/>
    <mergeCell ref="D123:E123"/>
    <mergeCell ref="AH123:AI123"/>
    <mergeCell ref="D124:E124"/>
    <mergeCell ref="AH124:AI124"/>
    <mergeCell ref="D127:E127"/>
    <mergeCell ref="AH127:AI127"/>
    <mergeCell ref="D128:E128"/>
    <mergeCell ref="AH128:AI128"/>
    <mergeCell ref="D131:E131"/>
    <mergeCell ref="AH131:AI131"/>
    <mergeCell ref="D132:E132"/>
    <mergeCell ref="AH132:AI132"/>
    <mergeCell ref="D135:E135"/>
    <mergeCell ref="AH135:AI135"/>
    <mergeCell ref="D136:E136"/>
    <mergeCell ref="AH136:AI136"/>
    <mergeCell ref="AA137:AO137"/>
    <mergeCell ref="B138:T138"/>
    <mergeCell ref="V138:AO138"/>
    <mergeCell ref="G139:P149"/>
    <mergeCell ref="Q140:Q141"/>
    <mergeCell ref="R140:R141"/>
    <mergeCell ref="S140:S141"/>
    <mergeCell ref="T140:T141"/>
    <mergeCell ref="U140:U141"/>
    <mergeCell ref="V140:V141"/>
    <mergeCell ref="W140:W141"/>
    <mergeCell ref="X140:X141"/>
    <mergeCell ref="Y140:Y141"/>
    <mergeCell ref="Q142:Q143"/>
    <mergeCell ref="R142:R143"/>
    <mergeCell ref="S142:S143"/>
    <mergeCell ref="T142:T143"/>
    <mergeCell ref="U142:U143"/>
    <mergeCell ref="V142:V143"/>
    <mergeCell ref="W142:W143"/>
    <mergeCell ref="X142:X143"/>
    <mergeCell ref="Y142:Y143"/>
    <mergeCell ref="Q144:Q145"/>
    <mergeCell ref="R144:R145"/>
    <mergeCell ref="S144:S145"/>
    <mergeCell ref="T144:T145"/>
    <mergeCell ref="U144:U145"/>
    <mergeCell ref="V144:V145"/>
    <mergeCell ref="W144:W145"/>
    <mergeCell ref="X144:X145"/>
    <mergeCell ref="Y144:Y145"/>
    <mergeCell ref="X146:X147"/>
    <mergeCell ref="Y146:Y147"/>
    <mergeCell ref="Q146:Q147"/>
    <mergeCell ref="R146:R147"/>
    <mergeCell ref="S146:S147"/>
    <mergeCell ref="T146:T147"/>
    <mergeCell ref="U146:U147"/>
    <mergeCell ref="V146:V147"/>
    <mergeCell ref="W146:W147"/>
    <mergeCell ref="B150:N150"/>
    <mergeCell ref="AA150:AO150"/>
    <mergeCell ref="Q148:Q149"/>
    <mergeCell ref="R148:R149"/>
    <mergeCell ref="S148:S149"/>
    <mergeCell ref="T148:T149"/>
    <mergeCell ref="U148:U149"/>
    <mergeCell ref="V148:V149"/>
    <mergeCell ref="W148:W149"/>
    <mergeCell ref="X148:X149"/>
    <mergeCell ref="Y148:Y149"/>
    <mergeCell ref="AA151:AO151"/>
    <mergeCell ref="B152:T152"/>
    <mergeCell ref="V152:AO152"/>
    <mergeCell ref="D153:H153"/>
    <mergeCell ref="K153:P158"/>
    <mergeCell ref="AA154:AJ154"/>
    <mergeCell ref="AA155:AJ155"/>
    <mergeCell ref="AA156:AJ156"/>
    <mergeCell ref="B157:C157"/>
    <mergeCell ref="AA157:AJ157"/>
    <mergeCell ref="B158:C158"/>
    <mergeCell ref="AA158:AJ158"/>
    <mergeCell ref="D158:I158"/>
    <mergeCell ref="D157:I157"/>
    <mergeCell ref="D156:I156"/>
    <mergeCell ref="D155:I155"/>
    <mergeCell ref="D154:I154"/>
    <mergeCell ref="B156:C156"/>
    <mergeCell ref="B155:C155"/>
    <mergeCell ref="B154:C154"/>
    <mergeCell ref="B153:C153"/>
    <mergeCell ref="B159:I159"/>
    <mergeCell ref="AA159:AO159"/>
    <mergeCell ref="B160:T160"/>
    <mergeCell ref="V160:AO160"/>
    <mergeCell ref="B161:C161"/>
    <mergeCell ref="D161:N161"/>
    <mergeCell ref="P161:P164"/>
    <mergeCell ref="AC161:AJ161"/>
    <mergeCell ref="B162:C164"/>
    <mergeCell ref="T162:T164"/>
    <mergeCell ref="U162:U164"/>
    <mergeCell ref="Y162:Y164"/>
    <mergeCell ref="AC162:AJ162"/>
    <mergeCell ref="AC163:AJ163"/>
    <mergeCell ref="AC164:AJ164"/>
    <mergeCell ref="D164:I164"/>
    <mergeCell ref="D163:I163"/>
    <mergeCell ref="D162:I162"/>
    <mergeCell ref="B165:C167"/>
    <mergeCell ref="P165:P167"/>
    <mergeCell ref="T165:T167"/>
    <mergeCell ref="U165:U167"/>
    <mergeCell ref="Y165:Y167"/>
    <mergeCell ref="AC165:AJ165"/>
    <mergeCell ref="AC166:AJ166"/>
    <mergeCell ref="AC167:AJ167"/>
    <mergeCell ref="D167:I167"/>
    <mergeCell ref="D166:I166"/>
    <mergeCell ref="D165:I165"/>
    <mergeCell ref="B168:I168"/>
    <mergeCell ref="AA168:AO168"/>
    <mergeCell ref="B169:T169"/>
    <mergeCell ref="V169:AO169"/>
    <mergeCell ref="AD170:AF170"/>
    <mergeCell ref="AD171:AF171"/>
    <mergeCell ref="AD172:AF172"/>
    <mergeCell ref="B172:E172"/>
    <mergeCell ref="B171:E171"/>
    <mergeCell ref="B170:E170"/>
    <mergeCell ref="AD173:AF173"/>
    <mergeCell ref="AD174:AF174"/>
    <mergeCell ref="AD175:AF175"/>
    <mergeCell ref="B176:I176"/>
    <mergeCell ref="AA176:AO176"/>
    <mergeCell ref="B177:T177"/>
    <mergeCell ref="V177:AO177"/>
    <mergeCell ref="B175:E175"/>
    <mergeCell ref="B174:E174"/>
    <mergeCell ref="B173:E173"/>
    <mergeCell ref="B178:C178"/>
    <mergeCell ref="D178:J178"/>
    <mergeCell ref="B179:C183"/>
    <mergeCell ref="T179:T183"/>
    <mergeCell ref="U179:U183"/>
    <mergeCell ref="Y179:Y183"/>
    <mergeCell ref="AC179:AJ179"/>
    <mergeCell ref="AC180:AJ180"/>
    <mergeCell ref="AC181:AJ181"/>
    <mergeCell ref="AC182:AJ182"/>
    <mergeCell ref="AC183:AJ183"/>
    <mergeCell ref="D182:I182"/>
    <mergeCell ref="D181:I181"/>
    <mergeCell ref="D180:I180"/>
    <mergeCell ref="D179:I179"/>
    <mergeCell ref="B187:C187"/>
    <mergeCell ref="AC187:AJ187"/>
    <mergeCell ref="B188:C188"/>
    <mergeCell ref="AC188:AJ188"/>
    <mergeCell ref="B189:C189"/>
    <mergeCell ref="AC189:AJ189"/>
    <mergeCell ref="B184:C184"/>
    <mergeCell ref="AC184:AJ184"/>
    <mergeCell ref="B185:C185"/>
    <mergeCell ref="AC185:AJ185"/>
    <mergeCell ref="B186:C186"/>
    <mergeCell ref="AC186:AJ186"/>
    <mergeCell ref="AA189:AB189"/>
    <mergeCell ref="B192:C192"/>
    <mergeCell ref="AC192:AJ192"/>
    <mergeCell ref="B193:C193"/>
    <mergeCell ref="AC193:AJ193"/>
    <mergeCell ref="B194:C194"/>
    <mergeCell ref="AC194:AJ194"/>
    <mergeCell ref="D194:I194"/>
    <mergeCell ref="D193:I193"/>
    <mergeCell ref="D192:I192"/>
    <mergeCell ref="B195:I195"/>
    <mergeCell ref="AA195:AO195"/>
    <mergeCell ref="B196:T196"/>
    <mergeCell ref="V196:AO196"/>
    <mergeCell ref="E201:I201"/>
    <mergeCell ref="E200:I200"/>
    <mergeCell ref="E199:I199"/>
    <mergeCell ref="E198:I198"/>
    <mergeCell ref="E197:I197"/>
    <mergeCell ref="AD198:AH198"/>
    <mergeCell ref="AD200:AH200"/>
    <mergeCell ref="B207:I207"/>
    <mergeCell ref="AA207:AO207"/>
    <mergeCell ref="B208:I208"/>
    <mergeCell ref="AA208:AO208"/>
    <mergeCell ref="E206:I206"/>
    <mergeCell ref="E205:I205"/>
    <mergeCell ref="E204:I204"/>
    <mergeCell ref="E203:I203"/>
    <mergeCell ref="E202:I202"/>
    <mergeCell ref="AD202:AH202"/>
    <mergeCell ref="AD204:AH204"/>
    <mergeCell ref="AD206:AH206"/>
    <mergeCell ref="B212:T212"/>
    <mergeCell ref="Z212:AA212"/>
    <mergeCell ref="AB212:AE212"/>
    <mergeCell ref="AF212:AG212"/>
    <mergeCell ref="B213:I213"/>
    <mergeCell ref="Z213:AB213"/>
    <mergeCell ref="B209:T209"/>
    <mergeCell ref="V209:AO209"/>
    <mergeCell ref="B210:I210"/>
    <mergeCell ref="Z210:AB210"/>
    <mergeCell ref="B211:C211"/>
    <mergeCell ref="Z211:AB211"/>
    <mergeCell ref="AD211:AF211"/>
    <mergeCell ref="AH211:AI211"/>
    <mergeCell ref="AJ211:AK211"/>
    <mergeCell ref="D211:E211"/>
    <mergeCell ref="G211:H211"/>
    <mergeCell ref="D191:I191"/>
    <mergeCell ref="D190:I190"/>
    <mergeCell ref="D189:I189"/>
    <mergeCell ref="D188:I188"/>
    <mergeCell ref="D187:I187"/>
    <mergeCell ref="D186:I186"/>
    <mergeCell ref="D185:I185"/>
    <mergeCell ref="D184:I184"/>
    <mergeCell ref="D183:I183"/>
    <mergeCell ref="AC191:AJ191"/>
    <mergeCell ref="AC190:AJ190"/>
    <mergeCell ref="AA190:AB190"/>
    <mergeCell ref="AA191:AB191"/>
    <mergeCell ref="AA192:AB192"/>
    <mergeCell ref="AA193:AB193"/>
    <mergeCell ref="AA194:AB194"/>
    <mergeCell ref="AA184:AB184"/>
    <mergeCell ref="AA185:AB185"/>
    <mergeCell ref="AA186:AB186"/>
    <mergeCell ref="AA187:AB187"/>
    <mergeCell ref="AA188:AB188"/>
  </mergeCells>
  <phoneticPr fontId="7" type="noConversion"/>
  <conditionalFormatting sqref="G57:I57 AA57:AC57 G59:I59 AA59:AC59 G61:I61 AA61:AC61 G63:I63 AA63:AC63 G65:I65 AA65:AC65">
    <cfRule type="cellIs" dxfId="1" priority="2" operator="greaterThan">
      <formula>20</formula>
    </cfRule>
  </conditionalFormatting>
  <conditionalFormatting sqref="Q154:S158 V154:X158">
    <cfRule type="cellIs" dxfId="0" priority="3" operator="between">
      <formula>4999</formula>
      <formula>1</formula>
    </cfRule>
  </conditionalFormatting>
  <dataValidations count="5">
    <dataValidation type="list" allowBlank="1" showInputMessage="1" showErrorMessage="1" sqref="F11:F30 AJ11:AJ30" xr:uid="{0021F28C-4B4D-4775-8C62-124949050EEA}">
      <formula1>"8.77, 12"</formula1>
    </dataValidation>
    <dataValidation type="list" allowBlank="1" showInputMessage="1" showErrorMessage="1" sqref="L26:M26" xr:uid="{4DBFA601-1DC6-406B-A895-BA1DEBBB170D}">
      <formula1>"190, 70, 260"</formula1>
    </dataValidation>
    <dataValidation type="list" allowBlank="1" showInputMessage="1" showErrorMessage="1" sqref="L22:M22" xr:uid="{60BFA7EA-CEFA-4C1C-B0CE-9A3B99C8DA3D}">
      <formula1>"38, 14, 52"</formula1>
    </dataValidation>
    <dataValidation type="list" allowBlank="1" showInputMessage="1" showErrorMessage="1" sqref="L18:M18" xr:uid="{C55500FA-D329-4EBE-9846-89053615A912}">
      <formula1>"1520, 560, 2080"</formula1>
    </dataValidation>
    <dataValidation type="list" allowBlank="1" showInputMessage="1" showErrorMessage="1" sqref="L14:M14 M30:N30" xr:uid="{9252B18A-115D-4236-8993-90A0836A4B05}">
      <formula1>"8.77, 3.23, 12"</formula1>
    </dataValidation>
  </dataValidations>
  <printOptions verticalCentered="1"/>
  <pageMargins left="0.5" right="0.5" top="0.5" bottom="0.5" header="0.5" footer="0"/>
  <pageSetup scale="17" orientation="portrait" r:id="rId1"/>
  <headerFooter alignWithMargins="0">
    <oddFooter>&amp;LNorthern Arizona University&amp;CPage &amp;P&amp;R&amp;D</oddFooter>
  </headerFooter>
  <rowBreaks count="1" manualBreakCount="1">
    <brk id="116" max="16383" man="1"/>
  </rowBreaks>
  <legacyDrawingHF r:id="rId2"/>
  <extLst>
    <ext xmlns:x14="http://schemas.microsoft.com/office/spreadsheetml/2009/9/main" uri="{CCE6A557-97BC-4b89-ADB6-D9C93CAAB3DF}">
      <x14:dataValidations xmlns:xm="http://schemas.microsoft.com/office/excel/2006/main" count="3">
        <x14:dataValidation type="list" allowBlank="1" showInputMessage="1" showErrorMessage="1" xr:uid="{DCD0400E-D4CA-404D-A035-C022D4486827}">
          <x14:formula1>
            <xm:f>Rates!$B$3:$B$11</xm:f>
          </x14:formula1>
          <xm:sqref>D211</xm:sqref>
        </x14:dataValidation>
        <x14:dataValidation type="list" allowBlank="1" showInputMessage="1" showErrorMessage="1" xr:uid="{47718F90-806F-4524-A292-7701F786CF15}">
          <x14:formula1>
            <xm:f>Rates!$B$3:$B$12</xm:f>
          </x14:formula1>
          <xm:sqref>AD211:AF211</xm:sqref>
        </x14:dataValidation>
        <x14:dataValidation type="list" allowBlank="1" showInputMessage="1" showErrorMessage="1" xr:uid="{004022FF-23AF-469B-827F-3EAFC988EA44}">
          <x14:formula1>
            <xm:f>Rates!$B$21:$B$23</xm:f>
          </x14:formula1>
          <xm:sqref>AH57 AH59 AH61 AH63 AH65</xm:sqref>
        </x14:dataValidation>
      </x14:dataValidations>
    </ext>
    <ext xmlns:mx="http://schemas.microsoft.com/office/mac/excel/2008/main" uri="{64002731-A6B0-56B0-2670-7721B7C09600}">
      <mx:PLV Mode="0" OnePage="0" WScale="10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9133E7-FF12-4093-A1E1-8821281B6649}">
  <sheetPr>
    <tabColor theme="8" tint="-0.249977111117893"/>
  </sheetPr>
  <dimension ref="A1:AF35"/>
  <sheetViews>
    <sheetView showGridLines="0" zoomScaleNormal="100" workbookViewId="0">
      <selection activeCell="AG41" sqref="AG41"/>
    </sheetView>
  </sheetViews>
  <sheetFormatPr defaultRowHeight="12.75" outlineLevelRow="1" x14ac:dyDescent="0.2"/>
  <cols>
    <col min="1" max="1" width="2.5703125" customWidth="1"/>
    <col min="2" max="2" width="3.5703125" customWidth="1"/>
    <col min="3" max="3" width="0.140625" customWidth="1"/>
    <col min="4" max="4" width="3" customWidth="1"/>
    <col min="5" max="5" width="5.42578125" customWidth="1"/>
    <col min="6" max="8" width="9.140625" hidden="1" customWidth="1"/>
    <col min="9" max="9" width="11.140625" customWidth="1"/>
    <col min="10" max="10" width="16" customWidth="1"/>
    <col min="11" max="11" width="11.140625" customWidth="1"/>
    <col min="12" max="12" width="6.85546875" hidden="1" customWidth="1"/>
    <col min="13" max="14" width="9.140625" hidden="1" customWidth="1"/>
    <col min="15" max="15" width="4" customWidth="1"/>
    <col min="16" max="16" width="13" customWidth="1"/>
    <col min="17" max="17" width="6" hidden="1" customWidth="1"/>
    <col min="18" max="20" width="9.140625" hidden="1" customWidth="1"/>
    <col min="21" max="21" width="7.5703125" customWidth="1"/>
    <col min="22" max="22" width="2.5703125" customWidth="1"/>
    <col min="23" max="23" width="0.140625" customWidth="1"/>
    <col min="24" max="24" width="4.140625" hidden="1" customWidth="1"/>
    <col min="25" max="25" width="5" customWidth="1"/>
    <col min="26" max="26" width="9.140625" customWidth="1"/>
    <col min="27" max="27" width="2.42578125" customWidth="1"/>
    <col min="28" max="30" width="9.140625" hidden="1" customWidth="1"/>
    <col min="31" max="31" width="5.5703125" customWidth="1"/>
  </cols>
  <sheetData>
    <row r="1" spans="1:32" ht="6" customHeight="1" x14ac:dyDescent="0.2"/>
    <row r="2" spans="1:32" ht="17.25" customHeight="1" x14ac:dyDescent="0.3">
      <c r="B2" s="856" t="s">
        <v>262</v>
      </c>
      <c r="C2" s="856"/>
      <c r="D2" s="856"/>
      <c r="E2" s="856"/>
      <c r="F2" s="856"/>
      <c r="G2" s="856"/>
      <c r="H2" s="856"/>
      <c r="I2" s="856"/>
      <c r="J2" s="856"/>
      <c r="K2" s="856"/>
      <c r="L2" s="856"/>
      <c r="M2" s="856"/>
      <c r="N2" s="856"/>
      <c r="O2" s="856"/>
      <c r="P2" s="856"/>
      <c r="Q2" s="856"/>
      <c r="R2" s="856"/>
      <c r="S2" s="856"/>
      <c r="T2" s="856"/>
      <c r="U2" s="856"/>
      <c r="V2" s="856"/>
      <c r="W2" s="856"/>
      <c r="X2" s="856"/>
      <c r="Y2" s="856"/>
      <c r="Z2" s="856"/>
      <c r="AA2" s="856"/>
      <c r="AB2" s="856"/>
      <c r="AC2" s="856"/>
      <c r="AD2" s="856"/>
      <c r="AE2" s="856"/>
      <c r="AF2" s="23"/>
    </row>
    <row r="3" spans="1:32" ht="13.5" customHeight="1" x14ac:dyDescent="0.25">
      <c r="B3" s="857" t="s">
        <v>263</v>
      </c>
      <c r="C3" s="857"/>
      <c r="D3" s="857"/>
      <c r="E3" s="857"/>
      <c r="F3" s="857"/>
      <c r="G3" s="857"/>
      <c r="H3" s="857"/>
      <c r="I3" s="857"/>
      <c r="J3" s="857"/>
      <c r="K3" s="857"/>
      <c r="L3" s="857"/>
      <c r="M3" s="857"/>
      <c r="N3" s="857"/>
      <c r="O3" s="857"/>
      <c r="P3" s="857"/>
      <c r="Q3" s="857"/>
      <c r="R3" s="857"/>
      <c r="S3" s="857"/>
      <c r="T3" s="857"/>
      <c r="U3" s="857"/>
      <c r="V3" s="857"/>
      <c r="W3" s="857"/>
      <c r="X3" s="857"/>
      <c r="Y3" s="857"/>
      <c r="Z3" s="857"/>
      <c r="AA3" s="857"/>
      <c r="AB3" s="857"/>
      <c r="AC3" s="857"/>
      <c r="AD3" s="857"/>
      <c r="AE3" s="857"/>
      <c r="AF3" s="23"/>
    </row>
    <row r="4" spans="1:32" ht="15.75" x14ac:dyDescent="0.25">
      <c r="B4" s="858" t="s">
        <v>264</v>
      </c>
      <c r="C4" s="858"/>
      <c r="D4" s="858"/>
      <c r="E4" s="858"/>
      <c r="F4" s="858"/>
      <c r="G4" s="858"/>
      <c r="H4" s="858"/>
      <c r="I4" s="858"/>
      <c r="J4" s="858"/>
      <c r="K4" s="858"/>
      <c r="L4" s="858"/>
      <c r="M4" s="858"/>
      <c r="N4" s="858"/>
      <c r="O4" s="858"/>
      <c r="P4" s="858"/>
      <c r="Q4" s="858"/>
      <c r="R4" s="858"/>
      <c r="S4" s="858"/>
      <c r="T4" s="858"/>
      <c r="U4" s="858"/>
      <c r="V4" s="858"/>
      <c r="W4" s="858"/>
      <c r="X4" s="858"/>
      <c r="Y4" s="858"/>
      <c r="Z4" s="858"/>
      <c r="AA4" s="858"/>
      <c r="AB4" s="858"/>
      <c r="AC4" s="858"/>
      <c r="AD4" s="858"/>
      <c r="AE4" s="858"/>
      <c r="AF4" s="23"/>
    </row>
    <row r="5" spans="1:32" ht="6.75" customHeight="1" x14ac:dyDescent="0.25">
      <c r="B5" s="23"/>
      <c r="C5" s="23"/>
      <c r="D5" s="23"/>
      <c r="E5" s="23"/>
      <c r="F5" s="23"/>
      <c r="G5" s="23"/>
      <c r="H5" s="23"/>
      <c r="I5" s="23"/>
      <c r="J5" s="23"/>
      <c r="K5" s="23"/>
      <c r="L5" s="23"/>
      <c r="M5" s="23"/>
      <c r="N5" s="23"/>
      <c r="O5" s="23"/>
      <c r="P5" s="23"/>
      <c r="Q5" s="23"/>
      <c r="R5" s="23"/>
      <c r="S5" s="23"/>
      <c r="T5" s="23"/>
      <c r="U5" s="23"/>
      <c r="V5" s="23"/>
      <c r="W5" s="23"/>
      <c r="X5" s="23"/>
      <c r="Y5" s="23"/>
      <c r="Z5" s="23"/>
      <c r="AA5" s="23"/>
      <c r="AB5" s="23"/>
      <c r="AC5" s="23"/>
      <c r="AD5" s="23"/>
      <c r="AE5" s="23"/>
      <c r="AF5" s="23"/>
    </row>
    <row r="6" spans="1:32" ht="3.75" customHeight="1" x14ac:dyDescent="0.25">
      <c r="B6" s="18"/>
      <c r="F6" s="18"/>
      <c r="H6" s="18"/>
      <c r="L6" s="18"/>
      <c r="M6" s="4"/>
      <c r="N6" s="4"/>
      <c r="O6" s="4"/>
      <c r="P6" s="4"/>
      <c r="Q6" s="4"/>
      <c r="R6" s="4"/>
      <c r="S6" s="4"/>
      <c r="U6" s="18"/>
      <c r="V6" s="4"/>
      <c r="W6" s="4"/>
      <c r="X6" s="4"/>
      <c r="Y6" s="4"/>
      <c r="Z6" s="4"/>
    </row>
    <row r="7" spans="1:32" ht="15" x14ac:dyDescent="0.25">
      <c r="B7" s="18"/>
      <c r="F7" s="18"/>
      <c r="H7" s="18"/>
      <c r="K7" s="859" t="s">
        <v>265</v>
      </c>
      <c r="L7" s="859"/>
      <c r="M7" s="859"/>
      <c r="N7" s="859"/>
      <c r="O7" s="859"/>
      <c r="P7" s="859" t="s">
        <v>266</v>
      </c>
      <c r="Q7" s="859"/>
      <c r="R7" s="859"/>
      <c r="S7" s="859"/>
      <c r="T7" s="859"/>
      <c r="U7" s="859" t="s">
        <v>267</v>
      </c>
      <c r="V7" s="859"/>
      <c r="W7" s="859"/>
      <c r="X7" s="859"/>
      <c r="Y7" s="859"/>
      <c r="Z7" s="859" t="s">
        <v>268</v>
      </c>
      <c r="AA7" s="859"/>
      <c r="AB7" s="859"/>
      <c r="AC7" s="859"/>
      <c r="AD7" s="859"/>
      <c r="AE7" s="859"/>
    </row>
    <row r="8" spans="1:32" x14ac:dyDescent="0.2">
      <c r="K8" s="859"/>
      <c r="L8" s="859"/>
      <c r="M8" s="859"/>
      <c r="N8" s="859"/>
      <c r="O8" s="859"/>
      <c r="P8" s="859"/>
      <c r="Q8" s="859"/>
      <c r="R8" s="859"/>
      <c r="S8" s="859"/>
      <c r="T8" s="859"/>
      <c r="U8" s="859"/>
      <c r="V8" s="859"/>
      <c r="W8" s="859"/>
      <c r="X8" s="859"/>
      <c r="Y8" s="859"/>
      <c r="Z8" s="859"/>
      <c r="AA8" s="859"/>
      <c r="AB8" s="859"/>
      <c r="AC8" s="859"/>
      <c r="AD8" s="859"/>
      <c r="AE8" s="859"/>
    </row>
    <row r="9" spans="1:32" ht="27" customHeight="1" x14ac:dyDescent="0.2">
      <c r="A9" s="20"/>
      <c r="B9" s="854" t="s">
        <v>269</v>
      </c>
      <c r="C9" s="854"/>
      <c r="D9" s="854"/>
      <c r="E9" s="854"/>
      <c r="F9" s="854"/>
      <c r="G9" s="854"/>
      <c r="H9" s="854"/>
      <c r="I9" s="854"/>
      <c r="J9" s="854"/>
      <c r="K9" s="855">
        <f>SUM(K10:O11)</f>
        <v>0</v>
      </c>
      <c r="L9" s="855"/>
      <c r="M9" s="855"/>
      <c r="N9" s="855"/>
      <c r="O9" s="855"/>
      <c r="P9" s="855">
        <f>SUM(P10:P11)</f>
        <v>0</v>
      </c>
      <c r="Q9" s="855"/>
      <c r="R9" s="855"/>
      <c r="S9" s="855"/>
      <c r="T9" s="855"/>
      <c r="U9" s="855">
        <f>SUM(U10:Y11)</f>
        <v>0</v>
      </c>
      <c r="V9" s="855"/>
      <c r="W9" s="855"/>
      <c r="X9" s="855"/>
      <c r="Y9" s="855"/>
      <c r="Z9" s="855">
        <f t="shared" ref="Z9:Z25" si="0">SUM(K9:Y9)</f>
        <v>0</v>
      </c>
      <c r="AA9" s="855"/>
      <c r="AB9" s="855"/>
      <c r="AC9" s="855"/>
      <c r="AD9" s="855"/>
      <c r="AE9" s="855"/>
    </row>
    <row r="10" spans="1:32" ht="22.5" customHeight="1" x14ac:dyDescent="0.2">
      <c r="A10" s="20"/>
      <c r="B10" s="839" t="s">
        <v>270</v>
      </c>
      <c r="C10" s="839"/>
      <c r="D10" s="839"/>
      <c r="E10" s="839"/>
      <c r="F10" s="839"/>
      <c r="G10" s="839"/>
      <c r="H10" s="839"/>
      <c r="I10" s="839"/>
      <c r="J10" s="840"/>
      <c r="K10" s="843">
        <f>'Budget Details'!Q31</f>
        <v>0</v>
      </c>
      <c r="L10" s="844"/>
      <c r="M10" s="844"/>
      <c r="N10" s="844"/>
      <c r="O10" s="845"/>
      <c r="P10" s="127">
        <f>SrSalary2</f>
        <v>0</v>
      </c>
      <c r="Q10" s="127"/>
      <c r="R10" s="127"/>
      <c r="S10" s="127"/>
      <c r="T10" s="127"/>
      <c r="U10" s="843">
        <f>'Budget Details'!S31</f>
        <v>0</v>
      </c>
      <c r="V10" s="844"/>
      <c r="W10" s="844"/>
      <c r="X10" s="844"/>
      <c r="Y10" s="845"/>
      <c r="Z10" s="843">
        <f t="shared" si="0"/>
        <v>0</v>
      </c>
      <c r="AA10" s="844"/>
      <c r="AB10" s="844"/>
      <c r="AC10" s="844"/>
      <c r="AD10" s="844"/>
      <c r="AE10" s="845"/>
    </row>
    <row r="11" spans="1:32" ht="22.5" customHeight="1" x14ac:dyDescent="0.2">
      <c r="A11" s="20"/>
      <c r="B11" s="841" t="s">
        <v>271</v>
      </c>
      <c r="C11" s="841"/>
      <c r="D11" s="841"/>
      <c r="E11" s="841"/>
      <c r="F11" s="841"/>
      <c r="G11" s="841"/>
      <c r="H11" s="841"/>
      <c r="I11" s="841"/>
      <c r="J11" s="842"/>
      <c r="K11" s="846">
        <f>'Budget Details'!Q68</f>
        <v>0</v>
      </c>
      <c r="L11" s="847"/>
      <c r="M11" s="847"/>
      <c r="N11" s="847"/>
      <c r="O11" s="848"/>
      <c r="P11" s="128">
        <f>OtherPersonnelSalary2</f>
        <v>0</v>
      </c>
      <c r="Q11" s="128"/>
      <c r="R11" s="128"/>
      <c r="S11" s="128"/>
      <c r="T11" s="128"/>
      <c r="U11" s="846">
        <f>'Budget Details'!S68</f>
        <v>0</v>
      </c>
      <c r="V11" s="847"/>
      <c r="W11" s="847"/>
      <c r="X11" s="847"/>
      <c r="Y11" s="848"/>
      <c r="Z11" s="846">
        <f t="shared" si="0"/>
        <v>0</v>
      </c>
      <c r="AA11" s="847"/>
      <c r="AB11" s="847"/>
      <c r="AC11" s="847"/>
      <c r="AD11" s="847"/>
      <c r="AE11" s="848"/>
    </row>
    <row r="12" spans="1:32" ht="21.75" customHeight="1" x14ac:dyDescent="0.2">
      <c r="A12" s="20"/>
      <c r="B12" s="853" t="s">
        <v>272</v>
      </c>
      <c r="C12" s="853"/>
      <c r="D12" s="853"/>
      <c r="E12" s="853"/>
      <c r="F12" s="853"/>
      <c r="G12" s="853"/>
      <c r="H12" s="853"/>
      <c r="I12" s="853"/>
      <c r="J12" s="853"/>
      <c r="K12" s="852">
        <f>SUM(K13:O15)</f>
        <v>0</v>
      </c>
      <c r="L12" s="852"/>
      <c r="M12" s="852"/>
      <c r="N12" s="852"/>
      <c r="O12" s="852"/>
      <c r="P12" s="852">
        <f t="shared" ref="P12" si="1">SUM(P13:T15)</f>
        <v>0</v>
      </c>
      <c r="Q12" s="852"/>
      <c r="R12" s="852"/>
      <c r="S12" s="852"/>
      <c r="T12" s="852"/>
      <c r="U12" s="852">
        <f t="shared" ref="U12" si="2">SUM(U13:Y15)</f>
        <v>0</v>
      </c>
      <c r="V12" s="852"/>
      <c r="W12" s="852"/>
      <c r="X12" s="852"/>
      <c r="Y12" s="852"/>
      <c r="Z12" s="852">
        <f t="shared" si="0"/>
        <v>0</v>
      </c>
      <c r="AA12" s="852"/>
      <c r="AB12" s="852"/>
      <c r="AC12" s="852"/>
      <c r="AD12" s="852"/>
      <c r="AE12" s="852"/>
    </row>
    <row r="13" spans="1:32" ht="22.5" customHeight="1" x14ac:dyDescent="0.2">
      <c r="A13" s="20"/>
      <c r="B13" s="839" t="s">
        <v>270</v>
      </c>
      <c r="C13" s="839"/>
      <c r="D13" s="839"/>
      <c r="E13" s="839"/>
      <c r="F13" s="839"/>
      <c r="G13" s="839"/>
      <c r="H13" s="839"/>
      <c r="I13" s="839"/>
      <c r="J13" s="840"/>
      <c r="K13" s="843">
        <f>'Budget Details'!Q91</f>
        <v>0</v>
      </c>
      <c r="L13" s="844"/>
      <c r="M13" s="844"/>
      <c r="N13" s="844"/>
      <c r="O13" s="845"/>
      <c r="P13" s="127">
        <f>SrFringe2</f>
        <v>0</v>
      </c>
      <c r="Q13" s="127"/>
      <c r="R13" s="127"/>
      <c r="S13" s="127"/>
      <c r="T13" s="127"/>
      <c r="U13" s="843">
        <f>'Budget Details'!S91</f>
        <v>0</v>
      </c>
      <c r="V13" s="844"/>
      <c r="W13" s="844"/>
      <c r="X13" s="844"/>
      <c r="Y13" s="845"/>
      <c r="Z13" s="862">
        <f t="shared" si="0"/>
        <v>0</v>
      </c>
      <c r="AA13" s="862"/>
      <c r="AB13" s="862"/>
      <c r="AC13" s="862"/>
      <c r="AD13" s="862"/>
      <c r="AE13" s="862"/>
    </row>
    <row r="14" spans="1:32" ht="22.5" customHeight="1" x14ac:dyDescent="0.2">
      <c r="A14" s="20"/>
      <c r="B14" s="839" t="s">
        <v>271</v>
      </c>
      <c r="C14" s="839"/>
      <c r="D14" s="839"/>
      <c r="E14" s="839"/>
      <c r="F14" s="839"/>
      <c r="G14" s="839"/>
      <c r="H14" s="839"/>
      <c r="I14" s="839"/>
      <c r="J14" s="850"/>
      <c r="K14" s="844">
        <f>'Budget Details'!Q114+'Budget Details'!Q137</f>
        <v>0</v>
      </c>
      <c r="L14" s="844"/>
      <c r="M14" s="844"/>
      <c r="N14" s="844"/>
      <c r="O14" s="844"/>
      <c r="P14" s="129">
        <f>OtherPersonnelBenefits2+GRABenefits2</f>
        <v>0</v>
      </c>
      <c r="Q14" s="127"/>
      <c r="R14" s="127"/>
      <c r="S14" s="127"/>
      <c r="T14" s="130"/>
      <c r="U14" s="851">
        <f>'Budget Details'!S114+'Budget Details'!S137</f>
        <v>0</v>
      </c>
      <c r="V14" s="844"/>
      <c r="W14" s="844"/>
      <c r="X14" s="844"/>
      <c r="Y14" s="844"/>
      <c r="Z14" s="863">
        <f t="shared" si="0"/>
        <v>0</v>
      </c>
      <c r="AA14" s="862"/>
      <c r="AB14" s="862"/>
      <c r="AC14" s="862"/>
      <c r="AD14" s="862"/>
      <c r="AE14" s="864"/>
    </row>
    <row r="15" spans="1:32" ht="22.5" customHeight="1" x14ac:dyDescent="0.2">
      <c r="A15" s="20"/>
      <c r="B15" s="839" t="s">
        <v>196</v>
      </c>
      <c r="C15" s="839"/>
      <c r="D15" s="839"/>
      <c r="E15" s="839"/>
      <c r="F15" s="839"/>
      <c r="G15" s="839"/>
      <c r="H15" s="839"/>
      <c r="I15" s="839"/>
      <c r="J15" s="839"/>
      <c r="K15" s="849">
        <f>'Budget Details'!Q150</f>
        <v>0</v>
      </c>
      <c r="L15" s="849"/>
      <c r="M15" s="849"/>
      <c r="N15" s="849"/>
      <c r="O15" s="849"/>
      <c r="P15" s="849">
        <f>'Budget Details'!R150</f>
        <v>0</v>
      </c>
      <c r="Q15" s="849"/>
      <c r="R15" s="849"/>
      <c r="S15" s="849"/>
      <c r="T15" s="849"/>
      <c r="U15" s="849">
        <f>'Budget Details'!S150</f>
        <v>0</v>
      </c>
      <c r="V15" s="849"/>
      <c r="W15" s="849"/>
      <c r="X15" s="849"/>
      <c r="Y15" s="849"/>
      <c r="Z15" s="849">
        <f t="shared" si="0"/>
        <v>0</v>
      </c>
      <c r="AA15" s="849"/>
      <c r="AB15" s="849"/>
      <c r="AC15" s="849"/>
      <c r="AD15" s="849"/>
      <c r="AE15" s="849"/>
    </row>
    <row r="16" spans="1:32" ht="24" customHeight="1" x14ac:dyDescent="0.2">
      <c r="A16" s="20"/>
      <c r="B16" s="861" t="s">
        <v>209</v>
      </c>
      <c r="C16" s="861"/>
      <c r="D16" s="861"/>
      <c r="E16" s="861"/>
      <c r="F16" s="861"/>
      <c r="G16" s="861"/>
      <c r="H16" s="861"/>
      <c r="I16" s="861"/>
      <c r="J16" s="861"/>
      <c r="K16" s="860">
        <f>Equip1</f>
        <v>0</v>
      </c>
      <c r="L16" s="860"/>
      <c r="M16" s="860"/>
      <c r="N16" s="860"/>
      <c r="O16" s="860"/>
      <c r="P16" s="860">
        <f>'Budget Details'!R159</f>
        <v>0</v>
      </c>
      <c r="Q16" s="860"/>
      <c r="R16" s="860"/>
      <c r="S16" s="860"/>
      <c r="T16" s="860"/>
      <c r="U16" s="860">
        <f>'Budget Details'!S159</f>
        <v>0</v>
      </c>
      <c r="V16" s="860"/>
      <c r="W16" s="860"/>
      <c r="X16" s="860"/>
      <c r="Y16" s="860"/>
      <c r="Z16" s="860">
        <f t="shared" si="0"/>
        <v>0</v>
      </c>
      <c r="AA16" s="860"/>
      <c r="AB16" s="860"/>
      <c r="AC16" s="860"/>
      <c r="AD16" s="860"/>
      <c r="AE16" s="860"/>
    </row>
    <row r="17" spans="1:31" ht="24" customHeight="1" x14ac:dyDescent="0.2">
      <c r="A17" s="20"/>
      <c r="B17" s="853" t="s">
        <v>214</v>
      </c>
      <c r="C17" s="853"/>
      <c r="D17" s="853"/>
      <c r="E17" s="853"/>
      <c r="F17" s="853"/>
      <c r="G17" s="853"/>
      <c r="H17" s="853"/>
      <c r="I17" s="853"/>
      <c r="J17" s="853"/>
      <c r="K17" s="852">
        <f>SUM(K18:O19)</f>
        <v>0</v>
      </c>
      <c r="L17" s="852"/>
      <c r="M17" s="852"/>
      <c r="N17" s="852"/>
      <c r="O17" s="852"/>
      <c r="P17" s="871">
        <f t="shared" ref="P17" si="3">SUM(P18:T19)</f>
        <v>0</v>
      </c>
      <c r="Q17" s="860"/>
      <c r="R17" s="860"/>
      <c r="S17" s="860"/>
      <c r="T17" s="860"/>
      <c r="U17" s="852">
        <f t="shared" ref="U17" si="4">SUM(U18:Y19)</f>
        <v>0</v>
      </c>
      <c r="V17" s="852"/>
      <c r="W17" s="852"/>
      <c r="X17" s="852"/>
      <c r="Y17" s="852"/>
      <c r="Z17" s="871">
        <f t="shared" si="0"/>
        <v>0</v>
      </c>
      <c r="AA17" s="871"/>
      <c r="AB17" s="871"/>
      <c r="AC17" s="871"/>
      <c r="AD17" s="871"/>
      <c r="AE17" s="871"/>
    </row>
    <row r="18" spans="1:31" ht="22.5" customHeight="1" x14ac:dyDescent="0.2">
      <c r="A18" s="20"/>
      <c r="B18" s="839" t="s">
        <v>273</v>
      </c>
      <c r="C18" s="839"/>
      <c r="D18" s="839"/>
      <c r="E18" s="839"/>
      <c r="F18" s="839"/>
      <c r="G18" s="839"/>
      <c r="H18" s="839"/>
      <c r="I18" s="839"/>
      <c r="J18" s="840"/>
      <c r="K18" s="865">
        <f>SUM('Budget Details'!Q162:Q164)</f>
        <v>0</v>
      </c>
      <c r="L18" s="866"/>
      <c r="M18" s="866"/>
      <c r="N18" s="866"/>
      <c r="O18" s="867"/>
      <c r="P18" s="127">
        <f>SUM('Budget Details'!R162:R164)</f>
        <v>0</v>
      </c>
      <c r="Q18" s="131"/>
      <c r="R18" s="131"/>
      <c r="S18" s="131"/>
      <c r="T18" s="131"/>
      <c r="U18" s="865">
        <f>SUM('Budget Details'!S162:S164)</f>
        <v>0</v>
      </c>
      <c r="V18" s="866"/>
      <c r="W18" s="866"/>
      <c r="X18" s="866"/>
      <c r="Y18" s="867"/>
      <c r="Z18" s="862">
        <f t="shared" si="0"/>
        <v>0</v>
      </c>
      <c r="AA18" s="862"/>
      <c r="AB18" s="862"/>
      <c r="AC18" s="862"/>
      <c r="AD18" s="862"/>
      <c r="AE18" s="862"/>
    </row>
    <row r="19" spans="1:31" ht="22.5" customHeight="1" x14ac:dyDescent="0.2">
      <c r="A19" s="20"/>
      <c r="B19" s="839" t="s">
        <v>274</v>
      </c>
      <c r="C19" s="839"/>
      <c r="D19" s="839"/>
      <c r="E19" s="839"/>
      <c r="F19" s="839"/>
      <c r="G19" s="839"/>
      <c r="H19" s="839"/>
      <c r="I19" s="839"/>
      <c r="J19" s="840"/>
      <c r="K19" s="868">
        <f>SUM('Budget Details'!Q165:Q167)</f>
        <v>0</v>
      </c>
      <c r="L19" s="869"/>
      <c r="M19" s="869"/>
      <c r="N19" s="869"/>
      <c r="O19" s="870"/>
      <c r="P19" s="128">
        <f>SUM('Budget Details'!R165:R167)</f>
        <v>0</v>
      </c>
      <c r="Q19" s="131"/>
      <c r="R19" s="131"/>
      <c r="S19" s="131"/>
      <c r="T19" s="131"/>
      <c r="U19" s="868">
        <f>SUM('Budget Details'!S165:S167)</f>
        <v>0</v>
      </c>
      <c r="V19" s="869"/>
      <c r="W19" s="869"/>
      <c r="X19" s="869"/>
      <c r="Y19" s="870"/>
      <c r="Z19" s="849">
        <f t="shared" si="0"/>
        <v>0</v>
      </c>
      <c r="AA19" s="849"/>
      <c r="AB19" s="849"/>
      <c r="AC19" s="849"/>
      <c r="AD19" s="849"/>
      <c r="AE19" s="849"/>
    </row>
    <row r="20" spans="1:31" ht="24.75" customHeight="1" x14ac:dyDescent="0.2">
      <c r="A20" s="20"/>
      <c r="B20" s="861" t="s">
        <v>275</v>
      </c>
      <c r="C20" s="861"/>
      <c r="D20" s="861"/>
      <c r="E20" s="861"/>
      <c r="F20" s="861"/>
      <c r="G20" s="861"/>
      <c r="H20" s="861"/>
      <c r="I20" s="861"/>
      <c r="J20" s="861"/>
      <c r="K20" s="860">
        <f>PSCYr1</f>
        <v>0</v>
      </c>
      <c r="L20" s="860"/>
      <c r="M20" s="860"/>
      <c r="N20" s="860"/>
      <c r="O20" s="860"/>
      <c r="P20" s="860">
        <f>'Budget Details'!R176</f>
        <v>0</v>
      </c>
      <c r="Q20" s="860"/>
      <c r="R20" s="860"/>
      <c r="S20" s="860"/>
      <c r="T20" s="860"/>
      <c r="U20" s="860">
        <f>'Budget Details'!S176</f>
        <v>0</v>
      </c>
      <c r="V20" s="860"/>
      <c r="W20" s="860"/>
      <c r="X20" s="860"/>
      <c r="Y20" s="860"/>
      <c r="Z20" s="860">
        <f t="shared" si="0"/>
        <v>0</v>
      </c>
      <c r="AA20" s="860"/>
      <c r="AB20" s="860"/>
      <c r="AC20" s="860"/>
      <c r="AD20" s="860"/>
      <c r="AE20" s="860"/>
    </row>
    <row r="21" spans="1:31" ht="24.75" customHeight="1" x14ac:dyDescent="0.2">
      <c r="A21" s="20"/>
      <c r="B21" s="872" t="s">
        <v>238</v>
      </c>
      <c r="C21" s="872"/>
      <c r="D21" s="872"/>
      <c r="E21" s="872"/>
      <c r="F21" s="872"/>
      <c r="G21" s="872"/>
      <c r="H21" s="872"/>
      <c r="I21" s="872"/>
      <c r="J21" s="872"/>
      <c r="K21" s="871">
        <f>SUM(K22:O24)</f>
        <v>0</v>
      </c>
      <c r="L21" s="871"/>
      <c r="M21" s="871"/>
      <c r="N21" s="871"/>
      <c r="O21" s="871"/>
      <c r="P21" s="852">
        <f t="shared" ref="P21" si="5">SUM(P22:T24)</f>
        <v>0</v>
      </c>
      <c r="Q21" s="852"/>
      <c r="R21" s="852"/>
      <c r="S21" s="852"/>
      <c r="T21" s="852"/>
      <c r="U21" s="871">
        <f t="shared" ref="U21" si="6">SUM(U22:Y24)</f>
        <v>0</v>
      </c>
      <c r="V21" s="871"/>
      <c r="W21" s="871"/>
      <c r="X21" s="871"/>
      <c r="Y21" s="871"/>
      <c r="Z21" s="871">
        <f t="shared" si="0"/>
        <v>0</v>
      </c>
      <c r="AA21" s="871"/>
      <c r="AB21" s="871"/>
      <c r="AC21" s="871"/>
      <c r="AD21" s="871"/>
      <c r="AE21" s="871"/>
    </row>
    <row r="22" spans="1:31" ht="22.5" customHeight="1" x14ac:dyDescent="0.2">
      <c r="A22" s="20"/>
      <c r="B22" s="909" t="s">
        <v>276</v>
      </c>
      <c r="C22" s="910"/>
      <c r="D22" s="910"/>
      <c r="E22" s="910"/>
      <c r="F22" s="910"/>
      <c r="G22" s="910"/>
      <c r="H22" s="910"/>
      <c r="I22" s="910"/>
      <c r="J22" s="911"/>
      <c r="K22" s="905">
        <f>SUM('Budget Details'!Q179:Q183)</f>
        <v>0</v>
      </c>
      <c r="L22" s="905"/>
      <c r="M22" s="905"/>
      <c r="N22" s="905"/>
      <c r="O22" s="905"/>
      <c r="P22" s="912">
        <f>SUM('Budget Details'!R179:R183)</f>
        <v>0</v>
      </c>
      <c r="Q22" s="912"/>
      <c r="R22" s="912"/>
      <c r="S22" s="912"/>
      <c r="T22" s="912"/>
      <c r="U22" s="905">
        <f>SUM('Budget Details'!S179:S183)</f>
        <v>0</v>
      </c>
      <c r="V22" s="905"/>
      <c r="W22" s="905"/>
      <c r="X22" s="905"/>
      <c r="Y22" s="905"/>
      <c r="Z22" s="905">
        <f t="shared" si="0"/>
        <v>0</v>
      </c>
      <c r="AA22" s="905"/>
      <c r="AB22" s="905"/>
      <c r="AC22" s="905"/>
      <c r="AD22" s="905"/>
      <c r="AE22" s="905"/>
    </row>
    <row r="23" spans="1:31" ht="22.5" customHeight="1" x14ac:dyDescent="0.2">
      <c r="A23" s="20"/>
      <c r="B23" s="839" t="s">
        <v>277</v>
      </c>
      <c r="C23" s="839"/>
      <c r="D23" s="839"/>
      <c r="E23" s="839"/>
      <c r="F23" s="839"/>
      <c r="G23" s="839"/>
      <c r="H23" s="839"/>
      <c r="I23" s="839"/>
      <c r="J23" s="839"/>
      <c r="K23" s="862">
        <f>'Budget Details'!Q184</f>
        <v>0</v>
      </c>
      <c r="L23" s="862"/>
      <c r="M23" s="862"/>
      <c r="N23" s="862"/>
      <c r="O23" s="862"/>
      <c r="P23" s="908">
        <f>'Budget Details'!R184</f>
        <v>0</v>
      </c>
      <c r="Q23" s="908"/>
      <c r="R23" s="908"/>
      <c r="S23" s="908"/>
      <c r="T23" s="908"/>
      <c r="U23" s="862">
        <f>'Budget Details'!S184</f>
        <v>0</v>
      </c>
      <c r="V23" s="862"/>
      <c r="W23" s="862"/>
      <c r="X23" s="862"/>
      <c r="Y23" s="862"/>
      <c r="Z23" s="862">
        <f t="shared" si="0"/>
        <v>0</v>
      </c>
      <c r="AA23" s="862"/>
      <c r="AB23" s="862"/>
      <c r="AC23" s="862"/>
      <c r="AD23" s="862"/>
      <c r="AE23" s="862"/>
    </row>
    <row r="24" spans="1:31" ht="22.5" customHeight="1" x14ac:dyDescent="0.2">
      <c r="A24" s="20"/>
      <c r="B24" s="839" t="s">
        <v>278</v>
      </c>
      <c r="C24" s="839"/>
      <c r="D24" s="839"/>
      <c r="E24" s="839"/>
      <c r="F24" s="839"/>
      <c r="G24" s="839"/>
      <c r="H24" s="839"/>
      <c r="I24" s="839"/>
      <c r="J24" s="840"/>
      <c r="K24" s="874">
        <f>SUM('Budget Details'!Q185:Q194)</f>
        <v>0</v>
      </c>
      <c r="L24" s="875"/>
      <c r="M24" s="875"/>
      <c r="N24" s="875"/>
      <c r="O24" s="876"/>
      <c r="P24" s="133">
        <f>SUM('Budget Details'!R185:R194)</f>
        <v>0</v>
      </c>
      <c r="Q24" s="133"/>
      <c r="R24" s="133"/>
      <c r="S24" s="133"/>
      <c r="T24" s="133"/>
      <c r="U24" s="874">
        <f>SUM('Budget Details'!S185:S194)</f>
        <v>0</v>
      </c>
      <c r="V24" s="875"/>
      <c r="W24" s="875"/>
      <c r="X24" s="875"/>
      <c r="Y24" s="876"/>
      <c r="Z24" s="874">
        <f t="shared" si="0"/>
        <v>0</v>
      </c>
      <c r="AA24" s="875"/>
      <c r="AB24" s="875"/>
      <c r="AC24" s="875"/>
      <c r="AD24" s="875"/>
      <c r="AE24" s="876"/>
    </row>
    <row r="25" spans="1:31" ht="21.75" customHeight="1" x14ac:dyDescent="0.2">
      <c r="A25" s="20"/>
      <c r="B25" s="906" t="s">
        <v>279</v>
      </c>
      <c r="C25" s="906"/>
      <c r="D25" s="906"/>
      <c r="E25" s="906"/>
      <c r="F25" s="906"/>
      <c r="G25" s="906"/>
      <c r="H25" s="906"/>
      <c r="I25" s="906"/>
      <c r="J25" s="907"/>
      <c r="K25" s="900">
        <f>'Budget Details'!Q207</f>
        <v>0</v>
      </c>
      <c r="L25" s="900"/>
      <c r="M25" s="900"/>
      <c r="N25" s="900"/>
      <c r="O25" s="900"/>
      <c r="P25" s="900">
        <f>'Budget Details'!R207</f>
        <v>0</v>
      </c>
      <c r="Q25" s="900"/>
      <c r="R25" s="900"/>
      <c r="S25" s="900"/>
      <c r="T25" s="900"/>
      <c r="U25" s="900">
        <f>'Budget Details'!S207</f>
        <v>0</v>
      </c>
      <c r="V25" s="900"/>
      <c r="W25" s="900"/>
      <c r="X25" s="900"/>
      <c r="Y25" s="900"/>
      <c r="Z25" s="900">
        <f t="shared" si="0"/>
        <v>0</v>
      </c>
      <c r="AA25" s="900"/>
      <c r="AB25" s="900"/>
      <c r="AC25" s="900"/>
      <c r="AD25" s="900"/>
      <c r="AE25" s="900"/>
    </row>
    <row r="26" spans="1:31" ht="6.75" customHeight="1" x14ac:dyDescent="0.2">
      <c r="B26" s="873"/>
      <c r="C26" s="873"/>
      <c r="D26" s="873"/>
      <c r="E26" s="873"/>
      <c r="F26" s="873"/>
      <c r="G26" s="873"/>
      <c r="H26" s="873"/>
      <c r="I26" s="873"/>
      <c r="J26" s="873"/>
      <c r="K26" s="873"/>
      <c r="L26" s="873"/>
      <c r="M26" s="873"/>
      <c r="N26" s="873"/>
      <c r="O26" s="873"/>
      <c r="P26" s="873"/>
      <c r="Q26" s="873"/>
      <c r="R26" s="873"/>
      <c r="S26" s="873"/>
      <c r="T26" s="873"/>
      <c r="U26" s="873"/>
      <c r="V26" s="873"/>
      <c r="W26" s="873"/>
      <c r="X26" s="873"/>
      <c r="Y26" s="873"/>
      <c r="Z26" s="873"/>
      <c r="AA26" s="873"/>
      <c r="AB26" s="873"/>
      <c r="AC26" s="873"/>
      <c r="AD26" s="873"/>
      <c r="AE26" s="873"/>
    </row>
    <row r="27" spans="1:31" ht="22.5" customHeight="1" x14ac:dyDescent="0.2">
      <c r="B27" s="902" t="s">
        <v>280</v>
      </c>
      <c r="C27" s="903"/>
      <c r="D27" s="903"/>
      <c r="E27" s="903"/>
      <c r="F27" s="903"/>
      <c r="G27" s="903"/>
      <c r="H27" s="903"/>
      <c r="I27" s="903"/>
      <c r="J27" s="904"/>
      <c r="K27" s="901">
        <f>SUM(K9,K12,K16,K17,K20,K21,K25)</f>
        <v>0</v>
      </c>
      <c r="L27" s="901"/>
      <c r="M27" s="901"/>
      <c r="N27" s="901"/>
      <c r="O27" s="901"/>
      <c r="P27" s="901">
        <f>SUM(P9,P12,P16,P17,P20,P21,P25)</f>
        <v>0</v>
      </c>
      <c r="Q27" s="901"/>
      <c r="R27" s="901"/>
      <c r="S27" s="901"/>
      <c r="T27" s="901"/>
      <c r="U27" s="901">
        <f>SUM(U9,U12,U16,U17,U20,U21,U25)</f>
        <v>0</v>
      </c>
      <c r="V27" s="901"/>
      <c r="W27" s="901"/>
      <c r="X27" s="901"/>
      <c r="Y27" s="901"/>
      <c r="Z27" s="901">
        <f>SUM(Z9,Z12,Z16,Z17,Z20,Z21,Z25)</f>
        <v>0</v>
      </c>
      <c r="AA27" s="901"/>
      <c r="AB27" s="901"/>
      <c r="AC27" s="901"/>
      <c r="AD27" s="901"/>
      <c r="AE27" s="901"/>
    </row>
    <row r="28" spans="1:31" ht="27.75" customHeight="1" x14ac:dyDescent="0.2">
      <c r="B28" s="919" t="s">
        <v>281</v>
      </c>
      <c r="C28" s="919"/>
      <c r="D28" s="919"/>
      <c r="E28" s="919"/>
      <c r="F28" s="919"/>
      <c r="G28" s="919"/>
      <c r="H28" s="919"/>
      <c r="I28" s="919"/>
      <c r="J28" s="919"/>
      <c r="K28" s="914">
        <f>IDCBase1</f>
        <v>0</v>
      </c>
      <c r="L28" s="914"/>
      <c r="M28" s="914"/>
      <c r="N28" s="914"/>
      <c r="O28" s="914"/>
      <c r="P28" s="915">
        <f>'Budget Details'!R210</f>
        <v>0</v>
      </c>
      <c r="Q28" s="915"/>
      <c r="R28" s="915"/>
      <c r="S28" s="915"/>
      <c r="T28" s="915"/>
      <c r="U28" s="915">
        <f>'Budget Details'!S210</f>
        <v>0</v>
      </c>
      <c r="V28" s="915"/>
      <c r="W28" s="915"/>
      <c r="X28" s="915"/>
      <c r="Y28" s="915"/>
      <c r="Z28" s="913">
        <f>SUM(K28:Y28)</f>
        <v>0</v>
      </c>
      <c r="AA28" s="913"/>
      <c r="AB28" s="913"/>
      <c r="AC28" s="913"/>
      <c r="AD28" s="913"/>
      <c r="AE28" s="913"/>
    </row>
    <row r="29" spans="1:31" ht="25.5" customHeight="1" x14ac:dyDescent="0.2">
      <c r="B29" s="890" t="s">
        <v>253</v>
      </c>
      <c r="C29" s="891"/>
      <c r="D29" s="891"/>
      <c r="E29" s="891"/>
      <c r="F29" s="891"/>
      <c r="G29" s="891"/>
      <c r="H29" s="891"/>
      <c r="I29" s="891"/>
      <c r="J29" s="892"/>
      <c r="K29" s="918">
        <f>'Budget Details'!Q211</f>
        <v>0</v>
      </c>
      <c r="L29" s="918"/>
      <c r="M29" s="918"/>
      <c r="N29" s="918"/>
      <c r="O29" s="918"/>
      <c r="P29" s="918">
        <f>'Budget Details'!R211</f>
        <v>0</v>
      </c>
      <c r="Q29" s="918"/>
      <c r="R29" s="918"/>
      <c r="S29" s="918"/>
      <c r="T29" s="918"/>
      <c r="U29" s="918">
        <f>'Budget Details'!S211</f>
        <v>0</v>
      </c>
      <c r="V29" s="918"/>
      <c r="W29" s="918"/>
      <c r="X29" s="918"/>
      <c r="Y29" s="918"/>
      <c r="Z29" s="889">
        <f>SUM(K29:Y29)</f>
        <v>0</v>
      </c>
      <c r="AA29" s="889"/>
      <c r="AB29" s="889"/>
      <c r="AC29" s="889"/>
      <c r="AD29" s="889"/>
      <c r="AE29" s="889"/>
    </row>
    <row r="30" spans="1:31" ht="8.25" customHeight="1" x14ac:dyDescent="0.2">
      <c r="B30" s="897"/>
      <c r="C30" s="897"/>
      <c r="D30" s="897"/>
      <c r="E30" s="897"/>
      <c r="F30" s="897"/>
      <c r="G30" s="897"/>
      <c r="H30" s="897"/>
      <c r="I30" s="897"/>
      <c r="J30" s="897"/>
      <c r="K30" s="897"/>
      <c r="L30" s="897"/>
      <c r="M30" s="897"/>
      <c r="N30" s="897"/>
      <c r="O30" s="897"/>
      <c r="P30" s="897"/>
      <c r="Q30" s="897"/>
      <c r="R30" s="897"/>
      <c r="S30" s="897"/>
      <c r="T30" s="897"/>
      <c r="U30" s="897"/>
      <c r="V30" s="897"/>
      <c r="W30" s="897"/>
      <c r="X30" s="897"/>
      <c r="Y30" s="897"/>
      <c r="Z30" s="897"/>
      <c r="AA30" s="897"/>
      <c r="AB30" s="897"/>
      <c r="AC30" s="897"/>
      <c r="AD30" s="897"/>
      <c r="AE30" s="897"/>
    </row>
    <row r="31" spans="1:31" ht="25.5" customHeight="1" x14ac:dyDescent="0.2">
      <c r="B31" s="890" t="s">
        <v>282</v>
      </c>
      <c r="C31" s="891"/>
      <c r="D31" s="891"/>
      <c r="E31" s="891"/>
      <c r="F31" s="891"/>
      <c r="G31" s="891"/>
      <c r="H31" s="891"/>
      <c r="I31" s="891"/>
      <c r="J31" s="892"/>
      <c r="K31" s="893">
        <f>K27+K29</f>
        <v>0</v>
      </c>
      <c r="L31" s="894"/>
      <c r="M31" s="894"/>
      <c r="N31" s="894"/>
      <c r="O31" s="895"/>
      <c r="P31" s="142">
        <f>P27+P29</f>
        <v>0</v>
      </c>
      <c r="Q31" s="142"/>
      <c r="R31" s="142"/>
      <c r="S31" s="142"/>
      <c r="T31" s="142"/>
      <c r="U31" s="896">
        <f>U27+U29</f>
        <v>0</v>
      </c>
      <c r="V31" s="894"/>
      <c r="W31" s="894"/>
      <c r="X31" s="894"/>
      <c r="Y31" s="895"/>
      <c r="Z31" s="896">
        <f>SUM(K31:Y31)</f>
        <v>0</v>
      </c>
      <c r="AA31" s="894"/>
      <c r="AB31" s="894"/>
      <c r="AC31" s="894"/>
      <c r="AD31" s="894"/>
      <c r="AE31" s="895"/>
    </row>
    <row r="32" spans="1:31" ht="8.25" customHeight="1" x14ac:dyDescent="0.2">
      <c r="B32" s="888"/>
      <c r="C32" s="888"/>
      <c r="D32" s="888"/>
      <c r="E32" s="888"/>
      <c r="F32" s="888"/>
      <c r="G32" s="888"/>
      <c r="H32" s="888"/>
      <c r="I32" s="888"/>
      <c r="J32" s="888"/>
      <c r="K32" s="888"/>
      <c r="L32" s="888"/>
      <c r="M32" s="888"/>
      <c r="N32" s="888"/>
      <c r="O32" s="888"/>
      <c r="P32" s="888"/>
      <c r="Q32" s="888"/>
      <c r="R32" s="888"/>
      <c r="S32" s="888"/>
      <c r="T32" s="888"/>
      <c r="U32" s="888"/>
      <c r="V32" s="888"/>
      <c r="W32" s="888"/>
      <c r="X32" s="888"/>
      <c r="Y32" s="888"/>
      <c r="Z32" s="888"/>
      <c r="AA32" s="888"/>
      <c r="AB32" s="888"/>
      <c r="AC32" s="888"/>
      <c r="AD32" s="888"/>
      <c r="AE32" s="888"/>
    </row>
    <row r="33" spans="2:31" ht="33.75" hidden="1" customHeight="1" outlineLevel="1" x14ac:dyDescent="0.2">
      <c r="B33" s="880" t="s">
        <v>283</v>
      </c>
      <c r="C33" s="881"/>
      <c r="D33" s="881"/>
      <c r="E33" s="881"/>
      <c r="F33" s="881"/>
      <c r="G33" s="881"/>
      <c r="H33" s="881"/>
      <c r="I33" s="881"/>
      <c r="J33" s="882"/>
      <c r="K33" s="883">
        <f>'Budget Details'!V213</f>
        <v>0</v>
      </c>
      <c r="L33" s="884"/>
      <c r="M33" s="884"/>
      <c r="N33" s="884"/>
      <c r="O33" s="884"/>
      <c r="P33" s="885">
        <f>'Budget Details'!W213</f>
        <v>0</v>
      </c>
      <c r="Q33" s="886"/>
      <c r="R33" s="886"/>
      <c r="S33" s="886"/>
      <c r="T33" s="886"/>
      <c r="U33" s="884">
        <f>'Budget Details'!X213</f>
        <v>0</v>
      </c>
      <c r="V33" s="884"/>
      <c r="W33" s="884"/>
      <c r="X33" s="884"/>
      <c r="Y33" s="884"/>
      <c r="Z33" s="877">
        <f>SUM(K33:Y33)</f>
        <v>0</v>
      </c>
      <c r="AA33" s="878"/>
      <c r="AB33" s="878"/>
      <c r="AC33" s="878"/>
      <c r="AD33" s="878"/>
      <c r="AE33" s="878"/>
    </row>
    <row r="34" spans="2:31" ht="20.25" hidden="1" customHeight="1" outlineLevel="1" x14ac:dyDescent="0.2">
      <c r="B34" s="879" t="s">
        <v>284</v>
      </c>
      <c r="C34" s="879"/>
      <c r="D34" s="879"/>
      <c r="E34" s="879"/>
      <c r="F34" s="879"/>
      <c r="G34" s="879"/>
      <c r="H34" s="879"/>
      <c r="I34" s="879"/>
      <c r="J34" s="879"/>
      <c r="K34" s="898">
        <f>IFERROR((K33/K35),0)</f>
        <v>0</v>
      </c>
      <c r="L34" s="898"/>
      <c r="M34" s="898"/>
      <c r="N34" s="898"/>
      <c r="O34" s="898"/>
      <c r="P34" s="134">
        <f>IFERROR((P33/P35),0)</f>
        <v>0</v>
      </c>
      <c r="Q34" s="132"/>
      <c r="R34" s="132"/>
      <c r="S34" s="132"/>
      <c r="T34" s="132"/>
      <c r="U34" s="899">
        <f>IFERROR((U33/U35),0)</f>
        <v>0</v>
      </c>
      <c r="V34" s="899"/>
      <c r="W34" s="899"/>
      <c r="X34" s="899"/>
      <c r="Y34" s="899"/>
      <c r="Z34" s="887">
        <f>IFERROR((Z33/Z35),0)</f>
        <v>0</v>
      </c>
      <c r="AA34" s="887"/>
      <c r="AB34" s="887"/>
      <c r="AC34" s="887"/>
      <c r="AD34" s="887"/>
      <c r="AE34" s="887"/>
    </row>
    <row r="35" spans="2:31" ht="25.5" customHeight="1" collapsed="1" x14ac:dyDescent="0.2">
      <c r="B35" s="890" t="s">
        <v>285</v>
      </c>
      <c r="C35" s="891"/>
      <c r="D35" s="891"/>
      <c r="E35" s="891"/>
      <c r="F35" s="891"/>
      <c r="G35" s="891"/>
      <c r="H35" s="891"/>
      <c r="I35" s="891"/>
      <c r="J35" s="892"/>
      <c r="K35" s="918">
        <f>SUM(K31,K33)</f>
        <v>0</v>
      </c>
      <c r="L35" s="918"/>
      <c r="M35" s="918"/>
      <c r="N35" s="918"/>
      <c r="O35" s="918"/>
      <c r="P35" s="918">
        <f>SUM(P31,P33)</f>
        <v>0</v>
      </c>
      <c r="Q35" s="918"/>
      <c r="R35" s="918"/>
      <c r="S35" s="918"/>
      <c r="T35" s="918"/>
      <c r="U35" s="918">
        <f>SUM(U31,U33)</f>
        <v>0</v>
      </c>
      <c r="V35" s="918"/>
      <c r="W35" s="918"/>
      <c r="X35" s="918"/>
      <c r="Y35" s="918"/>
      <c r="Z35" s="916">
        <f>SUM(Z31,Z33)</f>
        <v>0</v>
      </c>
      <c r="AA35" s="917"/>
      <c r="AB35" s="917"/>
      <c r="AC35" s="917"/>
      <c r="AD35" s="917"/>
      <c r="AE35" s="917"/>
    </row>
  </sheetData>
  <mergeCells count="121">
    <mergeCell ref="Z28:AE28"/>
    <mergeCell ref="K28:O28"/>
    <mergeCell ref="P28:T28"/>
    <mergeCell ref="U28:Y28"/>
    <mergeCell ref="K27:O27"/>
    <mergeCell ref="P27:T27"/>
    <mergeCell ref="Z35:AE35"/>
    <mergeCell ref="B29:J29"/>
    <mergeCell ref="K29:O29"/>
    <mergeCell ref="B28:J28"/>
    <mergeCell ref="U27:Y27"/>
    <mergeCell ref="P29:T29"/>
    <mergeCell ref="U29:Y29"/>
    <mergeCell ref="B35:J35"/>
    <mergeCell ref="K35:O35"/>
    <mergeCell ref="P35:T35"/>
    <mergeCell ref="U35:Y35"/>
    <mergeCell ref="Z22:AE22"/>
    <mergeCell ref="B25:J25"/>
    <mergeCell ref="K25:O25"/>
    <mergeCell ref="P25:T25"/>
    <mergeCell ref="U25:Y25"/>
    <mergeCell ref="B23:J23"/>
    <mergeCell ref="K23:O23"/>
    <mergeCell ref="P23:T23"/>
    <mergeCell ref="U23:Y23"/>
    <mergeCell ref="Z23:AE23"/>
    <mergeCell ref="B22:J22"/>
    <mergeCell ref="K22:O22"/>
    <mergeCell ref="P22:T22"/>
    <mergeCell ref="U22:Y22"/>
    <mergeCell ref="B26:AE26"/>
    <mergeCell ref="B24:J24"/>
    <mergeCell ref="K24:O24"/>
    <mergeCell ref="U24:Y24"/>
    <mergeCell ref="Z24:AE24"/>
    <mergeCell ref="Z33:AE33"/>
    <mergeCell ref="B34:J34"/>
    <mergeCell ref="B33:J33"/>
    <mergeCell ref="K33:O33"/>
    <mergeCell ref="P33:T33"/>
    <mergeCell ref="U33:Y33"/>
    <mergeCell ref="Z34:AE34"/>
    <mergeCell ref="B32:AE32"/>
    <mergeCell ref="Z29:AE29"/>
    <mergeCell ref="B31:J31"/>
    <mergeCell ref="K31:O31"/>
    <mergeCell ref="U31:Y31"/>
    <mergeCell ref="Z31:AE31"/>
    <mergeCell ref="B30:AE30"/>
    <mergeCell ref="K34:O34"/>
    <mergeCell ref="U34:Y34"/>
    <mergeCell ref="Z25:AE25"/>
    <mergeCell ref="Z27:AE27"/>
    <mergeCell ref="B27:J27"/>
    <mergeCell ref="Z21:AE21"/>
    <mergeCell ref="B17:J17"/>
    <mergeCell ref="K17:O17"/>
    <mergeCell ref="P17:T17"/>
    <mergeCell ref="U17:Y17"/>
    <mergeCell ref="Z17:AE17"/>
    <mergeCell ref="B21:J21"/>
    <mergeCell ref="K21:O21"/>
    <mergeCell ref="P21:T21"/>
    <mergeCell ref="U21:Y21"/>
    <mergeCell ref="U20:Y20"/>
    <mergeCell ref="U18:Y18"/>
    <mergeCell ref="U19:Y19"/>
    <mergeCell ref="Z18:AE18"/>
    <mergeCell ref="U12:Y12"/>
    <mergeCell ref="Z20:AE20"/>
    <mergeCell ref="B16:J16"/>
    <mergeCell ref="K16:O16"/>
    <mergeCell ref="P16:T16"/>
    <mergeCell ref="U16:Y16"/>
    <mergeCell ref="Z16:AE16"/>
    <mergeCell ref="B20:J20"/>
    <mergeCell ref="K20:O20"/>
    <mergeCell ref="P20:T20"/>
    <mergeCell ref="Z13:AE13"/>
    <mergeCell ref="Z14:AE14"/>
    <mergeCell ref="B18:J18"/>
    <mergeCell ref="B19:J19"/>
    <mergeCell ref="K18:O18"/>
    <mergeCell ref="K19:O19"/>
    <mergeCell ref="B9:J9"/>
    <mergeCell ref="K9:O9"/>
    <mergeCell ref="P9:T9"/>
    <mergeCell ref="U9:Y9"/>
    <mergeCell ref="Z9:AE9"/>
    <mergeCell ref="B2:AE2"/>
    <mergeCell ref="B3:AE3"/>
    <mergeCell ref="B4:AE4"/>
    <mergeCell ref="K7:O8"/>
    <mergeCell ref="P7:T8"/>
    <mergeCell ref="U7:Y8"/>
    <mergeCell ref="Z7:AE8"/>
    <mergeCell ref="B10:J10"/>
    <mergeCell ref="B11:J11"/>
    <mergeCell ref="K10:O10"/>
    <mergeCell ref="U10:Y10"/>
    <mergeCell ref="Z10:AE10"/>
    <mergeCell ref="K11:O11"/>
    <mergeCell ref="U11:Y11"/>
    <mergeCell ref="Z11:AE11"/>
    <mergeCell ref="Z19:AE19"/>
    <mergeCell ref="B13:J13"/>
    <mergeCell ref="B14:J14"/>
    <mergeCell ref="K13:O13"/>
    <mergeCell ref="K14:O14"/>
    <mergeCell ref="U13:Y13"/>
    <mergeCell ref="U14:Y14"/>
    <mergeCell ref="Z15:AE15"/>
    <mergeCell ref="U15:Y15"/>
    <mergeCell ref="P15:T15"/>
    <mergeCell ref="K15:O15"/>
    <mergeCell ref="B15:J15"/>
    <mergeCell ref="Z12:AE12"/>
    <mergeCell ref="B12:J12"/>
    <mergeCell ref="K12:O12"/>
    <mergeCell ref="P12:T12"/>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A8B4C9-EF9D-444F-8908-10893B60185A}">
  <sheetPr>
    <tabColor rgb="FFA8BFAE"/>
  </sheetPr>
  <dimension ref="B2:W34"/>
  <sheetViews>
    <sheetView workbookViewId="0">
      <selection activeCell="W4" sqref="W4"/>
    </sheetView>
  </sheetViews>
  <sheetFormatPr defaultRowHeight="12.75" x14ac:dyDescent="0.2"/>
  <cols>
    <col min="1" max="1" width="2.85546875" customWidth="1"/>
    <col min="2" max="2" width="21.5703125" customWidth="1"/>
    <col min="3" max="3" width="10.7109375" customWidth="1"/>
    <col min="4" max="4" width="9" bestFit="1" customWidth="1"/>
    <col min="5" max="5" width="10" bestFit="1" customWidth="1"/>
    <col min="6" max="6" width="8.42578125" bestFit="1" customWidth="1"/>
    <col min="7" max="7" width="9.28515625" customWidth="1"/>
    <col min="8" max="8" width="14" customWidth="1"/>
    <col min="9" max="9" width="13.28515625" customWidth="1"/>
    <col min="10" max="10" width="12.140625" customWidth="1"/>
    <col min="11" max="11" width="9.5703125" bestFit="1" customWidth="1"/>
    <col min="12" max="12" width="11.85546875" customWidth="1"/>
    <col min="13" max="13" width="11.42578125" customWidth="1"/>
    <col min="14" max="14" width="11.140625" customWidth="1"/>
    <col min="15" max="15" width="11.42578125" customWidth="1"/>
    <col min="16" max="16" width="11.28515625" bestFit="1" customWidth="1"/>
    <col min="17" max="17" width="9.28515625" customWidth="1"/>
    <col min="18" max="18" width="8.5703125" customWidth="1"/>
    <col min="19" max="19" width="11.28515625" customWidth="1"/>
    <col min="20" max="20" width="13.28515625" customWidth="1"/>
    <col min="21" max="21" width="15.7109375" customWidth="1"/>
  </cols>
  <sheetData>
    <row r="2" spans="2:23" ht="22.5" x14ac:dyDescent="0.3">
      <c r="B2" s="207" t="s">
        <v>286</v>
      </c>
      <c r="C2" s="126"/>
      <c r="D2" s="126"/>
      <c r="E2" s="126"/>
      <c r="F2" s="126"/>
      <c r="G2" s="126"/>
      <c r="H2" s="126"/>
      <c r="I2" s="126"/>
      <c r="J2" s="126"/>
      <c r="K2" s="126"/>
      <c r="L2" s="126"/>
      <c r="M2" s="126"/>
      <c r="N2" s="126"/>
      <c r="O2" s="126"/>
      <c r="P2" s="126"/>
      <c r="Q2" s="126"/>
      <c r="R2" s="126"/>
      <c r="S2" s="126"/>
      <c r="T2" s="126"/>
      <c r="U2" s="126"/>
      <c r="V2" s="126"/>
      <c r="W2" s="4"/>
    </row>
    <row r="3" spans="2:23" ht="18.75" x14ac:dyDescent="0.3">
      <c r="B3" s="126"/>
      <c r="C3" s="925" t="s">
        <v>287</v>
      </c>
      <c r="D3" s="925"/>
      <c r="E3" s="925"/>
      <c r="F3" s="925"/>
      <c r="G3" s="926" t="s">
        <v>288</v>
      </c>
      <c r="H3" s="926"/>
      <c r="I3" s="926"/>
      <c r="J3" s="926"/>
      <c r="K3" s="926"/>
      <c r="L3" s="926"/>
      <c r="M3" s="206"/>
      <c r="N3" s="922" t="s">
        <v>289</v>
      </c>
      <c r="O3" s="922"/>
      <c r="P3" s="922"/>
      <c r="Q3" s="922"/>
      <c r="R3" s="922"/>
      <c r="S3" s="922"/>
      <c r="T3" s="205"/>
      <c r="U3" s="923" t="s">
        <v>268</v>
      </c>
      <c r="V3" s="126"/>
    </row>
    <row r="4" spans="2:23" ht="60" x14ac:dyDescent="0.25">
      <c r="B4" s="126" t="s">
        <v>290</v>
      </c>
      <c r="C4" s="137" t="s">
        <v>291</v>
      </c>
      <c r="D4" s="137" t="s">
        <v>292</v>
      </c>
      <c r="E4" s="137" t="s">
        <v>293</v>
      </c>
      <c r="F4" s="137" t="s">
        <v>294</v>
      </c>
      <c r="G4" s="138" t="s">
        <v>295</v>
      </c>
      <c r="H4" s="138" t="s">
        <v>296</v>
      </c>
      <c r="I4" s="138" t="s">
        <v>297</v>
      </c>
      <c r="J4" s="138" t="s">
        <v>298</v>
      </c>
      <c r="K4" s="138" t="s">
        <v>299</v>
      </c>
      <c r="L4" s="138" t="s">
        <v>300</v>
      </c>
      <c r="M4" s="138" t="s">
        <v>301</v>
      </c>
      <c r="N4" s="139" t="s">
        <v>302</v>
      </c>
      <c r="O4" s="139" t="s">
        <v>303</v>
      </c>
      <c r="P4" s="139" t="s">
        <v>304</v>
      </c>
      <c r="Q4" s="139" t="s">
        <v>305</v>
      </c>
      <c r="R4" s="139" t="s">
        <v>306</v>
      </c>
      <c r="S4" s="139" t="s">
        <v>307</v>
      </c>
      <c r="T4" s="139" t="s">
        <v>308</v>
      </c>
      <c r="U4" s="924"/>
      <c r="V4" s="126"/>
    </row>
    <row r="5" spans="2:23" ht="15" x14ac:dyDescent="0.25">
      <c r="B5" s="126" t="s">
        <v>309</v>
      </c>
      <c r="C5" s="318"/>
      <c r="D5" s="318"/>
      <c r="E5" s="135">
        <f>D5-1</f>
        <v>-1</v>
      </c>
      <c r="F5" s="319"/>
      <c r="G5" s="320"/>
      <c r="H5" s="320"/>
      <c r="I5" s="136">
        <f>H5*0.75</f>
        <v>0</v>
      </c>
      <c r="J5" s="320"/>
      <c r="K5" s="320"/>
      <c r="L5" s="320"/>
      <c r="M5" s="320"/>
      <c r="N5" s="136">
        <f>(I5*2)*C5</f>
        <v>0</v>
      </c>
      <c r="O5" s="160">
        <f>IF(D5=1,I5-N5,(D5-2)*(H5*C5))</f>
        <v>0</v>
      </c>
      <c r="P5" s="160">
        <f>C5*G5</f>
        <v>0</v>
      </c>
      <c r="Q5" s="160">
        <f>C5*(J5*E5)</f>
        <v>0</v>
      </c>
      <c r="R5" s="160">
        <f>F5*K5</f>
        <v>0</v>
      </c>
      <c r="S5" s="160">
        <f>L5*C5</f>
        <v>0</v>
      </c>
      <c r="T5" s="160">
        <f>C5*M5</f>
        <v>0</v>
      </c>
      <c r="U5" s="160">
        <f t="shared" ref="U5:U14" si="0">SUM(N5:T5)</f>
        <v>0</v>
      </c>
      <c r="V5" s="126"/>
    </row>
    <row r="6" spans="2:23" ht="15" x14ac:dyDescent="0.25">
      <c r="B6" s="126" t="s">
        <v>310</v>
      </c>
      <c r="C6" s="318"/>
      <c r="D6" s="318"/>
      <c r="E6" s="135">
        <f t="shared" ref="E6:E14" si="1">D6-1</f>
        <v>-1</v>
      </c>
      <c r="F6" s="319"/>
      <c r="G6" s="320"/>
      <c r="H6" s="320"/>
      <c r="I6" s="136">
        <f t="shared" ref="I6:I14" si="2">H6*0.75</f>
        <v>0</v>
      </c>
      <c r="J6" s="320"/>
      <c r="K6" s="320"/>
      <c r="L6" s="320"/>
      <c r="M6" s="320"/>
      <c r="N6" s="136">
        <f>(I6*2)*C6</f>
        <v>0</v>
      </c>
      <c r="O6" s="160">
        <f t="shared" ref="O6:O14" si="3">IF(D6=1,I6-N6,(D6-2)*(H6*C6))</f>
        <v>0</v>
      </c>
      <c r="P6" s="160">
        <f t="shared" ref="P6:P14" si="4">C6*G6</f>
        <v>0</v>
      </c>
      <c r="Q6" s="160">
        <f t="shared" ref="Q6:Q14" si="5">C6*(J6*E6)</f>
        <v>0</v>
      </c>
      <c r="R6" s="160">
        <f t="shared" ref="R6:R14" si="6">F6*K6</f>
        <v>0</v>
      </c>
      <c r="S6" s="160">
        <f t="shared" ref="S6:S14" si="7">L6*C6</f>
        <v>0</v>
      </c>
      <c r="T6" s="160">
        <f t="shared" ref="T6:T14" si="8">C6*M6</f>
        <v>0</v>
      </c>
      <c r="U6" s="160">
        <f t="shared" si="0"/>
        <v>0</v>
      </c>
      <c r="V6" s="126"/>
    </row>
    <row r="7" spans="2:23" ht="15" x14ac:dyDescent="0.25">
      <c r="B7" s="126" t="s">
        <v>311</v>
      </c>
      <c r="C7" s="318"/>
      <c r="D7" s="318"/>
      <c r="E7" s="135">
        <f t="shared" si="1"/>
        <v>-1</v>
      </c>
      <c r="F7" s="319"/>
      <c r="G7" s="320"/>
      <c r="H7" s="320"/>
      <c r="I7" s="136">
        <f t="shared" si="2"/>
        <v>0</v>
      </c>
      <c r="J7" s="320"/>
      <c r="K7" s="320"/>
      <c r="L7" s="320"/>
      <c r="M7" s="320"/>
      <c r="N7" s="136">
        <f t="shared" ref="N7:N14" si="9">(I7*2)*C7</f>
        <v>0</v>
      </c>
      <c r="O7" s="160">
        <f t="shared" si="3"/>
        <v>0</v>
      </c>
      <c r="P7" s="160">
        <f t="shared" si="4"/>
        <v>0</v>
      </c>
      <c r="Q7" s="160">
        <f t="shared" si="5"/>
        <v>0</v>
      </c>
      <c r="R7" s="160">
        <f t="shared" si="6"/>
        <v>0</v>
      </c>
      <c r="S7" s="160">
        <f t="shared" si="7"/>
        <v>0</v>
      </c>
      <c r="T7" s="160">
        <f t="shared" si="8"/>
        <v>0</v>
      </c>
      <c r="U7" s="160">
        <f t="shared" si="0"/>
        <v>0</v>
      </c>
      <c r="V7" s="126"/>
    </row>
    <row r="8" spans="2:23" ht="15" x14ac:dyDescent="0.25">
      <c r="B8" s="126" t="s">
        <v>312</v>
      </c>
      <c r="C8" s="318"/>
      <c r="D8" s="318"/>
      <c r="E8" s="135">
        <f t="shared" si="1"/>
        <v>-1</v>
      </c>
      <c r="F8" s="319"/>
      <c r="G8" s="320"/>
      <c r="H8" s="320"/>
      <c r="I8" s="136">
        <f t="shared" si="2"/>
        <v>0</v>
      </c>
      <c r="J8" s="320"/>
      <c r="K8" s="320"/>
      <c r="L8" s="320"/>
      <c r="M8" s="320"/>
      <c r="N8" s="136">
        <f t="shared" si="9"/>
        <v>0</v>
      </c>
      <c r="O8" s="160">
        <f t="shared" si="3"/>
        <v>0</v>
      </c>
      <c r="P8" s="160">
        <f t="shared" si="4"/>
        <v>0</v>
      </c>
      <c r="Q8" s="160">
        <f t="shared" si="5"/>
        <v>0</v>
      </c>
      <c r="R8" s="160">
        <f t="shared" si="6"/>
        <v>0</v>
      </c>
      <c r="S8" s="160">
        <f t="shared" si="7"/>
        <v>0</v>
      </c>
      <c r="T8" s="160">
        <f t="shared" si="8"/>
        <v>0</v>
      </c>
      <c r="U8" s="160">
        <f t="shared" si="0"/>
        <v>0</v>
      </c>
      <c r="V8" s="126"/>
    </row>
    <row r="9" spans="2:23" ht="15" x14ac:dyDescent="0.25">
      <c r="B9" s="126" t="s">
        <v>313</v>
      </c>
      <c r="C9" s="318"/>
      <c r="D9" s="318"/>
      <c r="E9" s="135">
        <f t="shared" si="1"/>
        <v>-1</v>
      </c>
      <c r="F9" s="319"/>
      <c r="G9" s="320"/>
      <c r="H9" s="320"/>
      <c r="I9" s="136">
        <f t="shared" si="2"/>
        <v>0</v>
      </c>
      <c r="J9" s="320"/>
      <c r="K9" s="320"/>
      <c r="L9" s="320"/>
      <c r="M9" s="320"/>
      <c r="N9" s="136">
        <f t="shared" si="9"/>
        <v>0</v>
      </c>
      <c r="O9" s="160">
        <f t="shared" si="3"/>
        <v>0</v>
      </c>
      <c r="P9" s="160">
        <f t="shared" si="4"/>
        <v>0</v>
      </c>
      <c r="Q9" s="160">
        <f t="shared" si="5"/>
        <v>0</v>
      </c>
      <c r="R9" s="160">
        <f t="shared" si="6"/>
        <v>0</v>
      </c>
      <c r="S9" s="160">
        <f t="shared" si="7"/>
        <v>0</v>
      </c>
      <c r="T9" s="160">
        <f t="shared" si="8"/>
        <v>0</v>
      </c>
      <c r="U9" s="160">
        <f t="shared" si="0"/>
        <v>0</v>
      </c>
      <c r="V9" s="126"/>
    </row>
    <row r="10" spans="2:23" ht="15" x14ac:dyDescent="0.25">
      <c r="B10" s="126" t="s">
        <v>314</v>
      </c>
      <c r="C10" s="318"/>
      <c r="D10" s="318"/>
      <c r="E10" s="135">
        <f t="shared" si="1"/>
        <v>-1</v>
      </c>
      <c r="F10" s="319"/>
      <c r="G10" s="320"/>
      <c r="H10" s="320"/>
      <c r="I10" s="136">
        <f t="shared" si="2"/>
        <v>0</v>
      </c>
      <c r="J10" s="320"/>
      <c r="K10" s="320"/>
      <c r="L10" s="320"/>
      <c r="M10" s="320"/>
      <c r="N10" s="136">
        <f t="shared" si="9"/>
        <v>0</v>
      </c>
      <c r="O10" s="160">
        <f t="shared" si="3"/>
        <v>0</v>
      </c>
      <c r="P10" s="160">
        <f t="shared" si="4"/>
        <v>0</v>
      </c>
      <c r="Q10" s="160">
        <f t="shared" si="5"/>
        <v>0</v>
      </c>
      <c r="R10" s="160">
        <f t="shared" si="6"/>
        <v>0</v>
      </c>
      <c r="S10" s="160">
        <f t="shared" si="7"/>
        <v>0</v>
      </c>
      <c r="T10" s="160">
        <f t="shared" si="8"/>
        <v>0</v>
      </c>
      <c r="U10" s="160">
        <f t="shared" si="0"/>
        <v>0</v>
      </c>
      <c r="V10" s="126"/>
    </row>
    <row r="11" spans="2:23" ht="15" x14ac:dyDescent="0.25">
      <c r="B11" s="126" t="s">
        <v>315</v>
      </c>
      <c r="C11" s="318"/>
      <c r="D11" s="318"/>
      <c r="E11" s="135">
        <f t="shared" si="1"/>
        <v>-1</v>
      </c>
      <c r="F11" s="319"/>
      <c r="G11" s="320"/>
      <c r="H11" s="320"/>
      <c r="I11" s="136">
        <f t="shared" si="2"/>
        <v>0</v>
      </c>
      <c r="J11" s="320"/>
      <c r="K11" s="320"/>
      <c r="L11" s="320"/>
      <c r="M11" s="320"/>
      <c r="N11" s="136">
        <f t="shared" si="9"/>
        <v>0</v>
      </c>
      <c r="O11" s="160">
        <f t="shared" si="3"/>
        <v>0</v>
      </c>
      <c r="P11" s="160">
        <f t="shared" si="4"/>
        <v>0</v>
      </c>
      <c r="Q11" s="160">
        <f t="shared" si="5"/>
        <v>0</v>
      </c>
      <c r="R11" s="160">
        <f t="shared" si="6"/>
        <v>0</v>
      </c>
      <c r="S11" s="160">
        <f t="shared" si="7"/>
        <v>0</v>
      </c>
      <c r="T11" s="160">
        <f t="shared" si="8"/>
        <v>0</v>
      </c>
      <c r="U11" s="160">
        <f t="shared" si="0"/>
        <v>0</v>
      </c>
      <c r="V11" s="126"/>
    </row>
    <row r="12" spans="2:23" ht="15" x14ac:dyDescent="0.25">
      <c r="B12" s="126" t="s">
        <v>316</v>
      </c>
      <c r="C12" s="318"/>
      <c r="D12" s="318"/>
      <c r="E12" s="135">
        <f t="shared" si="1"/>
        <v>-1</v>
      </c>
      <c r="F12" s="319"/>
      <c r="G12" s="320"/>
      <c r="H12" s="320"/>
      <c r="I12" s="136">
        <f t="shared" si="2"/>
        <v>0</v>
      </c>
      <c r="J12" s="320"/>
      <c r="K12" s="320"/>
      <c r="L12" s="320"/>
      <c r="M12" s="320"/>
      <c r="N12" s="136">
        <f t="shared" si="9"/>
        <v>0</v>
      </c>
      <c r="O12" s="160">
        <f t="shared" si="3"/>
        <v>0</v>
      </c>
      <c r="P12" s="160">
        <f t="shared" si="4"/>
        <v>0</v>
      </c>
      <c r="Q12" s="160">
        <f t="shared" si="5"/>
        <v>0</v>
      </c>
      <c r="R12" s="160">
        <f t="shared" si="6"/>
        <v>0</v>
      </c>
      <c r="S12" s="160">
        <f t="shared" si="7"/>
        <v>0</v>
      </c>
      <c r="T12" s="160">
        <f t="shared" si="8"/>
        <v>0</v>
      </c>
      <c r="U12" s="160">
        <f t="shared" si="0"/>
        <v>0</v>
      </c>
      <c r="V12" s="126"/>
    </row>
    <row r="13" spans="2:23" ht="15" x14ac:dyDescent="0.25">
      <c r="B13" s="126" t="s">
        <v>317</v>
      </c>
      <c r="C13" s="318"/>
      <c r="D13" s="318"/>
      <c r="E13" s="135">
        <f t="shared" si="1"/>
        <v>-1</v>
      </c>
      <c r="F13" s="319"/>
      <c r="G13" s="320"/>
      <c r="H13" s="320"/>
      <c r="I13" s="136">
        <f t="shared" si="2"/>
        <v>0</v>
      </c>
      <c r="J13" s="320"/>
      <c r="K13" s="320"/>
      <c r="L13" s="320"/>
      <c r="M13" s="320"/>
      <c r="N13" s="136">
        <f t="shared" si="9"/>
        <v>0</v>
      </c>
      <c r="O13" s="160">
        <f t="shared" si="3"/>
        <v>0</v>
      </c>
      <c r="P13" s="160">
        <f t="shared" si="4"/>
        <v>0</v>
      </c>
      <c r="Q13" s="160">
        <f t="shared" si="5"/>
        <v>0</v>
      </c>
      <c r="R13" s="160">
        <f t="shared" si="6"/>
        <v>0</v>
      </c>
      <c r="S13" s="160">
        <f t="shared" si="7"/>
        <v>0</v>
      </c>
      <c r="T13" s="160">
        <f t="shared" si="8"/>
        <v>0</v>
      </c>
      <c r="U13" s="160">
        <f t="shared" si="0"/>
        <v>0</v>
      </c>
      <c r="V13" s="126"/>
    </row>
    <row r="14" spans="2:23" ht="15" x14ac:dyDescent="0.25">
      <c r="B14" s="126" t="s">
        <v>318</v>
      </c>
      <c r="C14" s="318"/>
      <c r="D14" s="318"/>
      <c r="E14" s="135">
        <f t="shared" si="1"/>
        <v>-1</v>
      </c>
      <c r="F14" s="319"/>
      <c r="G14" s="320"/>
      <c r="H14" s="320"/>
      <c r="I14" s="136">
        <f t="shared" si="2"/>
        <v>0</v>
      </c>
      <c r="J14" s="320"/>
      <c r="K14" s="320"/>
      <c r="L14" s="320"/>
      <c r="M14" s="320"/>
      <c r="N14" s="136">
        <f t="shared" si="9"/>
        <v>0</v>
      </c>
      <c r="O14" s="160">
        <f t="shared" si="3"/>
        <v>0</v>
      </c>
      <c r="P14" s="160">
        <f t="shared" si="4"/>
        <v>0</v>
      </c>
      <c r="Q14" s="160">
        <f t="shared" si="5"/>
        <v>0</v>
      </c>
      <c r="R14" s="160">
        <f t="shared" si="6"/>
        <v>0</v>
      </c>
      <c r="S14" s="160">
        <f t="shared" si="7"/>
        <v>0</v>
      </c>
      <c r="T14" s="160">
        <f t="shared" si="8"/>
        <v>0</v>
      </c>
      <c r="U14" s="160">
        <f t="shared" si="0"/>
        <v>0</v>
      </c>
      <c r="V14" s="126"/>
    </row>
    <row r="15" spans="2:23" ht="15" x14ac:dyDescent="0.25">
      <c r="B15" s="126"/>
      <c r="C15" s="126"/>
      <c r="D15" s="126"/>
      <c r="E15" s="126"/>
      <c r="F15" s="126"/>
      <c r="G15" s="126"/>
      <c r="H15" s="126"/>
      <c r="I15" s="126"/>
      <c r="J15" s="126"/>
      <c r="K15" s="126"/>
      <c r="L15" s="126"/>
      <c r="M15" s="126"/>
      <c r="N15" s="126"/>
      <c r="O15" s="126"/>
      <c r="P15" s="126"/>
      <c r="Q15" s="126"/>
      <c r="R15" s="126"/>
      <c r="S15" s="126"/>
      <c r="T15" s="126"/>
      <c r="U15" s="126"/>
      <c r="V15" s="126"/>
    </row>
    <row r="16" spans="2:23" ht="15" x14ac:dyDescent="0.25">
      <c r="B16" s="126" t="s">
        <v>319</v>
      </c>
      <c r="U16" s="161">
        <f>SUM(U5:U14)</f>
        <v>0</v>
      </c>
    </row>
    <row r="22" spans="2:19" ht="23.25" x14ac:dyDescent="0.35">
      <c r="B22" s="323" t="s">
        <v>320</v>
      </c>
      <c r="C22" s="921" t="s">
        <v>321</v>
      </c>
      <c r="D22" s="921"/>
      <c r="E22" s="921"/>
      <c r="F22" s="921"/>
      <c r="G22" s="921"/>
      <c r="H22" s="921"/>
      <c r="I22" s="921"/>
      <c r="J22" s="1"/>
    </row>
    <row r="23" spans="2:19" ht="18.75" customHeight="1" x14ac:dyDescent="0.25">
      <c r="B23" s="322"/>
      <c r="C23" s="920" t="s">
        <v>322</v>
      </c>
      <c r="D23" s="920"/>
      <c r="E23" s="920"/>
      <c r="F23" s="920"/>
      <c r="G23" s="920"/>
      <c r="H23" s="920"/>
      <c r="I23" s="920"/>
      <c r="J23" s="1"/>
      <c r="K23" s="1"/>
      <c r="L23" s="1"/>
      <c r="M23" s="1"/>
      <c r="N23" s="1"/>
      <c r="O23" s="1"/>
      <c r="P23" s="1"/>
      <c r="Q23" s="1"/>
      <c r="R23" s="1"/>
      <c r="S23" s="1"/>
    </row>
    <row r="24" spans="2:19" ht="18" x14ac:dyDescent="0.25">
      <c r="B24" s="322"/>
      <c r="C24" s="920" t="s">
        <v>323</v>
      </c>
      <c r="D24" s="920"/>
      <c r="E24" s="920"/>
      <c r="F24" s="920"/>
      <c r="G24" s="920"/>
      <c r="H24" s="920"/>
      <c r="I24" s="920"/>
      <c r="J24" s="208"/>
      <c r="K24" s="208"/>
      <c r="L24" s="208"/>
      <c r="M24" s="208"/>
      <c r="N24" s="208"/>
      <c r="O24" s="208"/>
      <c r="P24" s="208"/>
      <c r="Q24" s="208"/>
      <c r="R24" s="208"/>
      <c r="S24" s="208"/>
    </row>
    <row r="25" spans="2:19" ht="18.75" customHeight="1" x14ac:dyDescent="0.25">
      <c r="B25" s="322"/>
      <c r="C25" s="920" t="s">
        <v>324</v>
      </c>
      <c r="D25" s="920"/>
      <c r="E25" s="920"/>
      <c r="F25" s="920"/>
      <c r="G25" s="920"/>
      <c r="H25" s="920"/>
      <c r="I25" s="920"/>
      <c r="J25" s="209"/>
      <c r="K25" s="209"/>
      <c r="L25" s="209"/>
      <c r="M25" s="209"/>
      <c r="N25" s="209"/>
      <c r="O25" s="209"/>
      <c r="P25" s="209"/>
      <c r="Q25" s="209"/>
      <c r="R25" s="209"/>
      <c r="S25" s="209"/>
    </row>
    <row r="26" spans="2:19" ht="18" x14ac:dyDescent="0.25">
      <c r="B26" s="322"/>
      <c r="C26" s="322"/>
      <c r="D26" s="322"/>
      <c r="E26" s="322"/>
      <c r="F26" s="322"/>
      <c r="G26" s="322"/>
      <c r="H26" s="321"/>
      <c r="I26" s="208"/>
      <c r="J26" s="208"/>
      <c r="K26" s="208"/>
      <c r="L26" s="208"/>
      <c r="M26" s="208"/>
      <c r="N26" s="208"/>
      <c r="O26" s="208"/>
      <c r="P26" s="208"/>
      <c r="Q26" s="208"/>
      <c r="R26" s="208"/>
      <c r="S26" s="208"/>
    </row>
    <row r="27" spans="2:19" x14ac:dyDescent="0.2">
      <c r="H27" s="28"/>
      <c r="I27" s="209"/>
      <c r="J27" s="209"/>
      <c r="K27" s="209"/>
      <c r="L27" s="209"/>
      <c r="M27" s="209"/>
      <c r="N27" s="209"/>
      <c r="O27" s="209"/>
      <c r="P27" s="209"/>
      <c r="Q27" s="209"/>
      <c r="R27" s="209"/>
      <c r="S27" s="209"/>
    </row>
    <row r="28" spans="2:19" x14ac:dyDescent="0.2">
      <c r="H28" s="1"/>
      <c r="I28" s="208"/>
      <c r="J28" s="208"/>
      <c r="K28" s="208"/>
      <c r="L28" s="208"/>
      <c r="M28" s="208"/>
      <c r="N28" s="208"/>
      <c r="O28" s="208"/>
      <c r="P28" s="208"/>
      <c r="Q28" s="208"/>
      <c r="R28" s="208"/>
      <c r="S28" s="208"/>
    </row>
    <row r="29" spans="2:19" x14ac:dyDescent="0.2">
      <c r="H29" s="28"/>
      <c r="I29" s="209"/>
      <c r="J29" s="209"/>
      <c r="K29" s="209"/>
      <c r="L29" s="209"/>
      <c r="M29" s="209"/>
      <c r="N29" s="209"/>
      <c r="O29" s="209"/>
      <c r="P29" s="209"/>
      <c r="Q29" s="209"/>
      <c r="R29" s="209"/>
      <c r="S29" s="209"/>
    </row>
    <row r="30" spans="2:19" x14ac:dyDescent="0.2">
      <c r="H30" s="1"/>
      <c r="I30" s="208"/>
      <c r="J30" s="208"/>
      <c r="K30" s="208"/>
      <c r="L30" s="208"/>
      <c r="M30" s="208"/>
      <c r="N30" s="208"/>
      <c r="O30" s="208"/>
      <c r="P30" s="208"/>
      <c r="Q30" s="208"/>
      <c r="R30" s="208"/>
      <c r="S30" s="208"/>
    </row>
    <row r="31" spans="2:19" x14ac:dyDescent="0.2">
      <c r="H31" s="28"/>
      <c r="I31" s="209"/>
      <c r="J31" s="209"/>
      <c r="K31" s="209"/>
      <c r="L31" s="209"/>
      <c r="M31" s="209"/>
      <c r="N31" s="209"/>
      <c r="O31" s="209"/>
      <c r="P31" s="209"/>
      <c r="Q31" s="209"/>
      <c r="R31" s="209"/>
      <c r="S31" s="209"/>
    </row>
    <row r="32" spans="2:19" x14ac:dyDescent="0.2">
      <c r="H32" s="1"/>
      <c r="I32" s="208"/>
      <c r="J32" s="208"/>
      <c r="K32" s="208"/>
      <c r="L32" s="208"/>
      <c r="M32" s="208"/>
      <c r="N32" s="208"/>
      <c r="O32" s="208"/>
      <c r="P32" s="208"/>
      <c r="Q32" s="208"/>
      <c r="R32" s="208"/>
      <c r="S32" s="208"/>
    </row>
    <row r="33" spans="8:19" x14ac:dyDescent="0.2">
      <c r="H33" s="28"/>
      <c r="I33" s="209"/>
      <c r="J33" s="209"/>
      <c r="K33" s="209"/>
      <c r="L33" s="209"/>
      <c r="M33" s="209"/>
      <c r="N33" s="209"/>
      <c r="O33" s="209"/>
      <c r="P33" s="209"/>
      <c r="Q33" s="209"/>
      <c r="R33" s="209"/>
      <c r="S33" s="209"/>
    </row>
    <row r="34" spans="8:19" x14ac:dyDescent="0.2">
      <c r="H34" s="1"/>
      <c r="I34" s="208"/>
      <c r="J34" s="208"/>
      <c r="K34" s="208"/>
      <c r="L34" s="208"/>
      <c r="M34" s="208"/>
      <c r="N34" s="208"/>
      <c r="O34" s="208"/>
      <c r="P34" s="208"/>
      <c r="Q34" s="208"/>
      <c r="R34" s="208"/>
      <c r="S34" s="208"/>
    </row>
  </sheetData>
  <mergeCells count="8">
    <mergeCell ref="C24:I24"/>
    <mergeCell ref="C22:I22"/>
    <mergeCell ref="C25:I25"/>
    <mergeCell ref="N3:S3"/>
    <mergeCell ref="U3:U4"/>
    <mergeCell ref="C3:F3"/>
    <mergeCell ref="G3:L3"/>
    <mergeCell ref="C23:I23"/>
  </mergeCells>
  <phoneticPr fontId="7" type="noConversion"/>
  <hyperlinks>
    <hyperlink ref="C25" r:id="rId1" location=":~:text=information%20technology%20solutions-,PER%20DIEM%20LOOK%2DUP,-1%20Choose%20a" xr:uid="{17B926D8-C2A4-46C0-AE36-5CF69F3BCE34}"/>
    <hyperlink ref="C23" r:id="rId2" xr:uid="{7060C1CB-92DF-4441-B21E-947D6CB689CD}"/>
    <hyperlink ref="C24" r:id="rId3" xr:uid="{A66D3759-284F-44C9-B322-C877D4101D18}"/>
    <hyperlink ref="C24:I24" r:id="rId4" location=":~:text=General%20Travel%20Principles%20and%20Policies" display="Arizona General Accounting Office Travel Policies" xr:uid="{A1C6357D-988E-439C-B808-E3D5E126CD10}"/>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0DE080-1A23-44A1-A7C2-6D29E2FEFE69}">
  <sheetPr>
    <tabColor theme="6" tint="0.39997558519241921"/>
  </sheetPr>
  <dimension ref="A1:P66"/>
  <sheetViews>
    <sheetView workbookViewId="0">
      <selection activeCell="P65" sqref="P65"/>
    </sheetView>
  </sheetViews>
  <sheetFormatPr defaultColWidth="15.7109375" defaultRowHeight="12.75" outlineLevelRow="1" outlineLevelCol="1" x14ac:dyDescent="0.2"/>
  <cols>
    <col min="1" max="1" width="3.28515625" customWidth="1"/>
    <col min="3" max="3" width="16.7109375" bestFit="1" customWidth="1"/>
    <col min="9" max="9" width="15.7109375" hidden="1" customWidth="1" outlineLevel="1"/>
    <col min="10" max="10" width="16.7109375" hidden="1" customWidth="1" outlineLevel="1"/>
    <col min="11" max="14" width="15.7109375" hidden="1" customWidth="1" outlineLevel="1"/>
    <col min="15" max="15" width="15.7109375" collapsed="1"/>
    <col min="16" max="16" width="17.7109375" customWidth="1"/>
  </cols>
  <sheetData>
    <row r="1" spans="1:16" ht="30.75" customHeight="1" x14ac:dyDescent="0.4">
      <c r="A1" s="936" t="s">
        <v>325</v>
      </c>
      <c r="B1" s="936"/>
      <c r="C1" s="936"/>
      <c r="D1" s="936"/>
      <c r="E1" s="936"/>
    </row>
    <row r="2" spans="1:16" ht="30.75" customHeight="1" x14ac:dyDescent="0.4">
      <c r="A2" s="534"/>
      <c r="B2" s="534"/>
      <c r="C2" s="534"/>
      <c r="D2" s="534"/>
      <c r="E2" s="534"/>
      <c r="O2" s="535" t="s">
        <v>101</v>
      </c>
      <c r="P2" s="535"/>
    </row>
    <row r="3" spans="1:16" ht="19.5" customHeight="1" thickBot="1" x14ac:dyDescent="0.35">
      <c r="A3" s="927" t="s">
        <v>326</v>
      </c>
      <c r="B3" s="927"/>
      <c r="C3" s="927"/>
      <c r="D3" s="927"/>
      <c r="E3" s="927"/>
      <c r="F3" s="927"/>
      <c r="G3" s="536"/>
      <c r="I3" s="927" t="s">
        <v>326</v>
      </c>
      <c r="J3" s="927"/>
      <c r="K3" s="927"/>
      <c r="L3" s="927"/>
      <c r="M3" s="927"/>
      <c r="N3" s="536"/>
    </row>
    <row r="4" spans="1:16" ht="19.5" customHeight="1" thickTop="1" thickBot="1" x14ac:dyDescent="0.3">
      <c r="A4" s="537"/>
      <c r="B4" s="933" t="s">
        <v>116</v>
      </c>
      <c r="C4" s="933" t="s">
        <v>117</v>
      </c>
      <c r="D4" s="928" t="s">
        <v>327</v>
      </c>
      <c r="E4" s="928"/>
      <c r="F4" s="928"/>
      <c r="G4" s="538"/>
      <c r="I4" s="933" t="s">
        <v>116</v>
      </c>
      <c r="J4" s="933" t="s">
        <v>117</v>
      </c>
      <c r="K4" s="928" t="s">
        <v>327</v>
      </c>
      <c r="L4" s="928"/>
      <c r="M4" s="928"/>
      <c r="N4" s="538"/>
    </row>
    <row r="5" spans="1:16" ht="19.5" customHeight="1" thickBot="1" x14ac:dyDescent="0.3">
      <c r="A5" s="537"/>
      <c r="B5" s="933"/>
      <c r="C5" s="933"/>
      <c r="D5" s="539" t="s">
        <v>328</v>
      </c>
      <c r="E5" s="539" t="s">
        <v>329</v>
      </c>
      <c r="F5" s="539" t="s">
        <v>330</v>
      </c>
      <c r="G5" s="539" t="s">
        <v>331</v>
      </c>
      <c r="I5" s="933"/>
      <c r="J5" s="933"/>
      <c r="K5" s="539" t="s">
        <v>328</v>
      </c>
      <c r="L5" s="539" t="s">
        <v>329</v>
      </c>
      <c r="M5" s="539" t="s">
        <v>330</v>
      </c>
      <c r="N5" s="539" t="s">
        <v>331</v>
      </c>
    </row>
    <row r="6" spans="1:16" ht="19.5" customHeight="1" x14ac:dyDescent="0.25">
      <c r="A6" s="537"/>
      <c r="B6" s="540">
        <f>'Budget Details'!B11</f>
        <v>0</v>
      </c>
      <c r="C6" s="541" t="s">
        <v>128</v>
      </c>
      <c r="D6" s="542">
        <f>SUM('Budget Details'!Q11+'Budget Details'!Q71)</f>
        <v>0</v>
      </c>
      <c r="E6" s="542">
        <f>SUM('Budget Details'!R11+'Budget Details'!R71)</f>
        <v>0</v>
      </c>
      <c r="F6" s="542">
        <f>SUM('Budget Details'!S11+'Budget Details'!S71)</f>
        <v>0</v>
      </c>
      <c r="G6" s="543">
        <f t="shared" ref="G6:G26" si="0">SUM(D6:F6)</f>
        <v>0</v>
      </c>
      <c r="I6" s="540">
        <f>'Budget Details'!AF11</f>
        <v>0</v>
      </c>
      <c r="J6" s="541" t="s">
        <v>128</v>
      </c>
      <c r="K6" s="544">
        <f>SUM('Budget Details'!V11,'Budget Details'!V71)</f>
        <v>0</v>
      </c>
      <c r="L6" s="544">
        <f>SUM('Budget Details'!W11,'Budget Details'!W71)</f>
        <v>0</v>
      </c>
      <c r="M6" s="544">
        <f>SUM('Budget Details'!X11,'Budget Details'!X71)</f>
        <v>0</v>
      </c>
      <c r="N6" s="545">
        <f t="shared" ref="N6:N26" si="1">SUM(K6:M6)</f>
        <v>0</v>
      </c>
    </row>
    <row r="7" spans="1:16" ht="19.5" customHeight="1" x14ac:dyDescent="0.25">
      <c r="A7" s="537"/>
      <c r="B7" s="540">
        <f>'Budget Details'!B12</f>
        <v>0</v>
      </c>
      <c r="C7" s="541" t="s">
        <v>129</v>
      </c>
      <c r="D7" s="542">
        <f>SUM('Budget Details'!Q12+'Budget Details'!Q72)</f>
        <v>0</v>
      </c>
      <c r="E7" s="542">
        <f>SUM('Budget Details'!R12+'Budget Details'!R72)</f>
        <v>0</v>
      </c>
      <c r="F7" s="542">
        <f>SUM('Budget Details'!S12+'Budget Details'!S72)</f>
        <v>0</v>
      </c>
      <c r="G7" s="543">
        <f t="shared" si="0"/>
        <v>0</v>
      </c>
      <c r="I7" s="540">
        <f>'Budget Details'!AF12</f>
        <v>0</v>
      </c>
      <c r="J7" s="541" t="s">
        <v>129</v>
      </c>
      <c r="K7" s="544">
        <f>SUM('Budget Details'!V12,'Budget Details'!V72)</f>
        <v>0</v>
      </c>
      <c r="L7" s="544">
        <f>SUM('Budget Details'!W12,'Budget Details'!W72)</f>
        <v>0</v>
      </c>
      <c r="M7" s="544">
        <f>SUM('Budget Details'!X12,'Budget Details'!X72)</f>
        <v>0</v>
      </c>
      <c r="N7" s="545">
        <f t="shared" si="1"/>
        <v>0</v>
      </c>
    </row>
    <row r="8" spans="1:16" ht="19.5" customHeight="1" x14ac:dyDescent="0.25">
      <c r="A8" s="537"/>
      <c r="B8" s="540">
        <f>'Budget Details'!B13</f>
        <v>0</v>
      </c>
      <c r="C8" s="541" t="s">
        <v>129</v>
      </c>
      <c r="D8" s="542">
        <f>SUM('Budget Details'!Q13+'Budget Details'!Q73)</f>
        <v>0</v>
      </c>
      <c r="E8" s="542">
        <f>SUM('Budget Details'!R13+'Budget Details'!R73)</f>
        <v>0</v>
      </c>
      <c r="F8" s="542">
        <f>SUM('Budget Details'!S13+'Budget Details'!S73)</f>
        <v>0</v>
      </c>
      <c r="G8" s="543">
        <f t="shared" si="0"/>
        <v>0</v>
      </c>
      <c r="I8" s="540">
        <f>'Budget Details'!AF13</f>
        <v>0</v>
      </c>
      <c r="J8" s="541" t="s">
        <v>129</v>
      </c>
      <c r="K8" s="544">
        <f>SUM('Budget Details'!V13,'Budget Details'!V73)</f>
        <v>0</v>
      </c>
      <c r="L8" s="544">
        <f>SUM('Budget Details'!W13,'Budget Details'!W73)</f>
        <v>0</v>
      </c>
      <c r="M8" s="544">
        <f>SUM('Budget Details'!X13,'Budget Details'!X73)</f>
        <v>0</v>
      </c>
      <c r="N8" s="545">
        <f t="shared" si="1"/>
        <v>0</v>
      </c>
    </row>
    <row r="9" spans="1:16" ht="19.5" customHeight="1" x14ac:dyDescent="0.25">
      <c r="A9" s="537"/>
      <c r="B9" s="540">
        <f>'Budget Details'!B14</f>
        <v>0</v>
      </c>
      <c r="C9" s="541" t="s">
        <v>129</v>
      </c>
      <c r="D9" s="542">
        <f>SUM('Budget Details'!Q14+'Budget Details'!Q74)</f>
        <v>0</v>
      </c>
      <c r="E9" s="542">
        <f>SUM('Budget Details'!R14+'Budget Details'!R74)</f>
        <v>0</v>
      </c>
      <c r="F9" s="542">
        <f>SUM('Budget Details'!S14+'Budget Details'!S74)</f>
        <v>0</v>
      </c>
      <c r="G9" s="543">
        <f t="shared" si="0"/>
        <v>0</v>
      </c>
      <c r="I9" s="540">
        <f>'Budget Details'!AF14</f>
        <v>0</v>
      </c>
      <c r="J9" s="541" t="s">
        <v>130</v>
      </c>
      <c r="K9" s="544">
        <f>SUM('Budget Details'!V14,'Budget Details'!V74)</f>
        <v>0</v>
      </c>
      <c r="L9" s="544">
        <f>SUM('Budget Details'!W14,'Budget Details'!W74)</f>
        <v>0</v>
      </c>
      <c r="M9" s="544">
        <f>SUM('Budget Details'!X14,'Budget Details'!X74)</f>
        <v>0</v>
      </c>
      <c r="N9" s="545">
        <f t="shared" si="1"/>
        <v>0</v>
      </c>
    </row>
    <row r="10" spans="1:16" ht="19.5" customHeight="1" x14ac:dyDescent="0.25">
      <c r="A10" s="537"/>
      <c r="B10" s="540">
        <f>'Budget Details'!B15</f>
        <v>0</v>
      </c>
      <c r="C10" s="541" t="s">
        <v>129</v>
      </c>
      <c r="D10" s="542">
        <f>SUM('Budget Details'!Q15+'Budget Details'!Q75)</f>
        <v>0</v>
      </c>
      <c r="E10" s="542">
        <f>SUM('Budget Details'!R15+'Budget Details'!R75)</f>
        <v>0</v>
      </c>
      <c r="F10" s="542">
        <f>SUM('Budget Details'!S15+'Budget Details'!S75)</f>
        <v>0</v>
      </c>
      <c r="G10" s="543">
        <f t="shared" si="0"/>
        <v>0</v>
      </c>
      <c r="I10" s="540">
        <f>'Budget Details'!AF15</f>
        <v>0</v>
      </c>
      <c r="J10" s="541" t="s">
        <v>130</v>
      </c>
      <c r="K10" s="544">
        <f>SUM('Budget Details'!V15,'Budget Details'!V75)</f>
        <v>0</v>
      </c>
      <c r="L10" s="544">
        <f>SUM('Budget Details'!W15,'Budget Details'!W75)</f>
        <v>0</v>
      </c>
      <c r="M10" s="544">
        <f>SUM('Budget Details'!X15,'Budget Details'!X75)</f>
        <v>0</v>
      </c>
      <c r="N10" s="545">
        <f t="shared" si="1"/>
        <v>0</v>
      </c>
    </row>
    <row r="11" spans="1:16" ht="19.5" customHeight="1" x14ac:dyDescent="0.25">
      <c r="A11" s="537"/>
      <c r="B11" s="540">
        <f>'Budget Details'!B16</f>
        <v>0</v>
      </c>
      <c r="C11" s="541" t="s">
        <v>130</v>
      </c>
      <c r="D11" s="542">
        <f>SUM('Budget Details'!Q16+'Budget Details'!Q76)</f>
        <v>0</v>
      </c>
      <c r="E11" s="542">
        <f>SUM('Budget Details'!R16+'Budget Details'!R76)</f>
        <v>0</v>
      </c>
      <c r="F11" s="542">
        <f>SUM('Budget Details'!S16+'Budget Details'!S76)</f>
        <v>0</v>
      </c>
      <c r="G11" s="543">
        <f t="shared" si="0"/>
        <v>0</v>
      </c>
      <c r="I11" s="540">
        <f>'Budget Details'!AF16</f>
        <v>0</v>
      </c>
      <c r="J11" s="541" t="s">
        <v>130</v>
      </c>
      <c r="K11" s="544">
        <f>SUM('Budget Details'!V16,'Budget Details'!V76)</f>
        <v>0</v>
      </c>
      <c r="L11" s="544">
        <f>SUM('Budget Details'!W16,'Budget Details'!W76)</f>
        <v>0</v>
      </c>
      <c r="M11" s="544">
        <f>SUM('Budget Details'!X16,'Budget Details'!X76)</f>
        <v>0</v>
      </c>
      <c r="N11" s="545">
        <f t="shared" si="1"/>
        <v>0</v>
      </c>
    </row>
    <row r="12" spans="1:16" ht="19.5" customHeight="1" x14ac:dyDescent="0.25">
      <c r="A12" s="537"/>
      <c r="B12" s="540">
        <f>'Budget Details'!B17</f>
        <v>0</v>
      </c>
      <c r="C12" s="541" t="s">
        <v>130</v>
      </c>
      <c r="D12" s="542">
        <f>SUM('Budget Details'!Q17+'Budget Details'!Q77)</f>
        <v>0</v>
      </c>
      <c r="E12" s="542">
        <f>SUM('Budget Details'!R17+'Budget Details'!R77)</f>
        <v>0</v>
      </c>
      <c r="F12" s="542">
        <f>SUM('Budget Details'!S17+'Budget Details'!S77)</f>
        <v>0</v>
      </c>
      <c r="G12" s="543">
        <f t="shared" si="0"/>
        <v>0</v>
      </c>
      <c r="I12" s="540">
        <f>'Budget Details'!AF17</f>
        <v>0</v>
      </c>
      <c r="J12" s="541" t="s">
        <v>130</v>
      </c>
      <c r="K12" s="544">
        <f>SUM('Budget Details'!V17,'Budget Details'!V77)</f>
        <v>0</v>
      </c>
      <c r="L12" s="544">
        <f>SUM('Budget Details'!W17,'Budget Details'!W77)</f>
        <v>0</v>
      </c>
      <c r="M12" s="544">
        <f>SUM('Budget Details'!X17,'Budget Details'!X77)</f>
        <v>0</v>
      </c>
      <c r="N12" s="545">
        <f t="shared" si="1"/>
        <v>0</v>
      </c>
    </row>
    <row r="13" spans="1:16" ht="19.5" customHeight="1" x14ac:dyDescent="0.25">
      <c r="A13" s="537"/>
      <c r="B13" s="540">
        <f>'Budget Details'!B18</f>
        <v>0</v>
      </c>
      <c r="C13" s="541" t="s">
        <v>130</v>
      </c>
      <c r="D13" s="542">
        <f>SUM('Budget Details'!Q18+'Budget Details'!Q78)</f>
        <v>0</v>
      </c>
      <c r="E13" s="542">
        <f>SUM('Budget Details'!R18+'Budget Details'!R78)</f>
        <v>0</v>
      </c>
      <c r="F13" s="542">
        <f>SUM('Budget Details'!S18+'Budget Details'!S78)</f>
        <v>0</v>
      </c>
      <c r="G13" s="543">
        <f t="shared" si="0"/>
        <v>0</v>
      </c>
      <c r="I13" s="540">
        <f>'Budget Details'!AF18</f>
        <v>0</v>
      </c>
      <c r="J13" s="541" t="s">
        <v>130</v>
      </c>
      <c r="K13" s="544">
        <f>SUM('Budget Details'!V18,'Budget Details'!V78)</f>
        <v>0</v>
      </c>
      <c r="L13" s="544">
        <f>SUM('Budget Details'!W18,'Budget Details'!W78)</f>
        <v>0</v>
      </c>
      <c r="M13" s="544">
        <f>SUM('Budget Details'!X18,'Budget Details'!X78)</f>
        <v>0</v>
      </c>
      <c r="N13" s="545">
        <f t="shared" si="1"/>
        <v>0</v>
      </c>
    </row>
    <row r="14" spans="1:16" ht="19.5" customHeight="1" x14ac:dyDescent="0.25">
      <c r="A14" s="537"/>
      <c r="B14" s="540">
        <f>'Budget Details'!B19</f>
        <v>0</v>
      </c>
      <c r="C14" s="541" t="s">
        <v>130</v>
      </c>
      <c r="D14" s="542">
        <f>SUM('Budget Details'!Q19+'Budget Details'!Q79)</f>
        <v>0</v>
      </c>
      <c r="E14" s="542">
        <f>SUM('Budget Details'!R19+'Budget Details'!R79)</f>
        <v>0</v>
      </c>
      <c r="F14" s="542">
        <f>SUM('Budget Details'!S19+'Budget Details'!S79)</f>
        <v>0</v>
      </c>
      <c r="G14" s="543">
        <f t="shared" si="0"/>
        <v>0</v>
      </c>
      <c r="I14" s="540">
        <f>'Budget Details'!AF19</f>
        <v>0</v>
      </c>
      <c r="J14" s="541" t="s">
        <v>130</v>
      </c>
      <c r="K14" s="544">
        <f>SUM('Budget Details'!V19,'Budget Details'!V79)</f>
        <v>0</v>
      </c>
      <c r="L14" s="544">
        <f>SUM('Budget Details'!W19,'Budget Details'!W79)</f>
        <v>0</v>
      </c>
      <c r="M14" s="544">
        <f>SUM('Budget Details'!X19,'Budget Details'!X79)</f>
        <v>0</v>
      </c>
      <c r="N14" s="545">
        <f t="shared" si="1"/>
        <v>0</v>
      </c>
    </row>
    <row r="15" spans="1:16" ht="19.5" customHeight="1" x14ac:dyDescent="0.25">
      <c r="A15" s="537"/>
      <c r="B15" s="540">
        <f>'Budget Details'!B20</f>
        <v>0</v>
      </c>
      <c r="C15" s="541" t="s">
        <v>130</v>
      </c>
      <c r="D15" s="542">
        <f>SUM('Budget Details'!Q20+'Budget Details'!Q80)</f>
        <v>0</v>
      </c>
      <c r="E15" s="542">
        <f>SUM('Budget Details'!R20+'Budget Details'!R80)</f>
        <v>0</v>
      </c>
      <c r="F15" s="542">
        <f>SUM('Budget Details'!S20+'Budget Details'!S80)</f>
        <v>0</v>
      </c>
      <c r="G15" s="543">
        <f t="shared" si="0"/>
        <v>0</v>
      </c>
      <c r="I15" s="540">
        <f>'Budget Details'!AF20</f>
        <v>0</v>
      </c>
      <c r="J15" s="541" t="s">
        <v>130</v>
      </c>
      <c r="K15" s="544">
        <f>SUM('Budget Details'!V20,'Budget Details'!V80)</f>
        <v>0</v>
      </c>
      <c r="L15" s="544">
        <f>SUM('Budget Details'!W20,'Budget Details'!W80)</f>
        <v>0</v>
      </c>
      <c r="M15" s="544">
        <f>SUM('Budget Details'!X20,'Budget Details'!X80)</f>
        <v>0</v>
      </c>
      <c r="N15" s="545">
        <f t="shared" si="1"/>
        <v>0</v>
      </c>
    </row>
    <row r="16" spans="1:16" ht="19.5" hidden="1" customHeight="1" outlineLevel="1" x14ac:dyDescent="0.25">
      <c r="A16" s="537"/>
      <c r="B16" s="540">
        <f>'Budget Details'!B21</f>
        <v>0</v>
      </c>
      <c r="C16" s="541" t="s">
        <v>130</v>
      </c>
      <c r="D16" s="542">
        <f>SUM('Budget Details'!Q21+'Budget Details'!Q81)</f>
        <v>0</v>
      </c>
      <c r="E16" s="542">
        <f>SUM('Budget Details'!R21+'Budget Details'!R81)</f>
        <v>0</v>
      </c>
      <c r="F16" s="542">
        <f>SUM('Budget Details'!S21+'Budget Details'!S81)</f>
        <v>0</v>
      </c>
      <c r="G16" s="543">
        <f t="shared" si="0"/>
        <v>0</v>
      </c>
      <c r="I16" s="540">
        <f>'Budget Details'!AF21</f>
        <v>0</v>
      </c>
      <c r="J16" s="541" t="s">
        <v>130</v>
      </c>
      <c r="K16" s="544">
        <f>SUM('Budget Details'!V21,'Budget Details'!V81)</f>
        <v>0</v>
      </c>
      <c r="L16" s="544">
        <f>SUM('Budget Details'!W21,'Budget Details'!W81)</f>
        <v>0</v>
      </c>
      <c r="M16" s="544">
        <f>SUM('Budget Details'!X21,'Budget Details'!X81)</f>
        <v>0</v>
      </c>
      <c r="N16" s="545">
        <f t="shared" si="1"/>
        <v>0</v>
      </c>
    </row>
    <row r="17" spans="1:14" ht="19.5" hidden="1" customHeight="1" outlineLevel="1" x14ac:dyDescent="0.25">
      <c r="A17" s="537"/>
      <c r="B17" s="540">
        <f>'Budget Details'!B22</f>
        <v>0</v>
      </c>
      <c r="C17" s="541" t="s">
        <v>130</v>
      </c>
      <c r="D17" s="542">
        <f>SUM('Budget Details'!Q22+'Budget Details'!Q82)</f>
        <v>0</v>
      </c>
      <c r="E17" s="542">
        <f>SUM('Budget Details'!R22+'Budget Details'!R82)</f>
        <v>0</v>
      </c>
      <c r="F17" s="542">
        <f>SUM('Budget Details'!S22+'Budget Details'!S82)</f>
        <v>0</v>
      </c>
      <c r="G17" s="543">
        <f t="shared" si="0"/>
        <v>0</v>
      </c>
      <c r="I17" s="540">
        <f>'Budget Details'!AF22</f>
        <v>0</v>
      </c>
      <c r="J17" s="541" t="s">
        <v>130</v>
      </c>
      <c r="K17" s="544">
        <f>SUM('Budget Details'!V22,'Budget Details'!V82)</f>
        <v>0</v>
      </c>
      <c r="L17" s="544">
        <f>SUM('Budget Details'!W22,'Budget Details'!W82)</f>
        <v>0</v>
      </c>
      <c r="M17" s="544">
        <f>SUM('Budget Details'!X22,'Budget Details'!X82)</f>
        <v>0</v>
      </c>
      <c r="N17" s="545">
        <f t="shared" si="1"/>
        <v>0</v>
      </c>
    </row>
    <row r="18" spans="1:14" ht="19.5" hidden="1" customHeight="1" outlineLevel="1" x14ac:dyDescent="0.25">
      <c r="A18" s="537"/>
      <c r="B18" s="540">
        <f>'Budget Details'!B23</f>
        <v>0</v>
      </c>
      <c r="C18" s="541" t="s">
        <v>130</v>
      </c>
      <c r="D18" s="542">
        <f>SUM('Budget Details'!Q23+'Budget Details'!Q83)</f>
        <v>0</v>
      </c>
      <c r="E18" s="542">
        <f>SUM('Budget Details'!R23+'Budget Details'!R83)</f>
        <v>0</v>
      </c>
      <c r="F18" s="542">
        <f>SUM('Budget Details'!S23+'Budget Details'!S83)</f>
        <v>0</v>
      </c>
      <c r="G18" s="543">
        <f t="shared" si="0"/>
        <v>0</v>
      </c>
      <c r="I18" s="540">
        <f>'Budget Details'!AF23</f>
        <v>0</v>
      </c>
      <c r="J18" s="541" t="s">
        <v>130</v>
      </c>
      <c r="K18" s="544">
        <f>SUM('Budget Details'!V23,'Budget Details'!V83)</f>
        <v>0</v>
      </c>
      <c r="L18" s="544">
        <f>SUM('Budget Details'!W23,'Budget Details'!W83)</f>
        <v>0</v>
      </c>
      <c r="M18" s="544">
        <f>SUM('Budget Details'!X23,'Budget Details'!X83)</f>
        <v>0</v>
      </c>
      <c r="N18" s="545">
        <f t="shared" si="1"/>
        <v>0</v>
      </c>
    </row>
    <row r="19" spans="1:14" ht="19.5" hidden="1" customHeight="1" outlineLevel="1" x14ac:dyDescent="0.25">
      <c r="A19" s="537"/>
      <c r="B19" s="540">
        <f>'Budget Details'!B24</f>
        <v>0</v>
      </c>
      <c r="C19" s="541" t="s">
        <v>130</v>
      </c>
      <c r="D19" s="542">
        <f>SUM('Budget Details'!Q24+'Budget Details'!Q84)</f>
        <v>0</v>
      </c>
      <c r="E19" s="542">
        <f>SUM('Budget Details'!R24+'Budget Details'!R84)</f>
        <v>0</v>
      </c>
      <c r="F19" s="542">
        <f>SUM('Budget Details'!S24+'Budget Details'!S84)</f>
        <v>0</v>
      </c>
      <c r="G19" s="543">
        <f t="shared" si="0"/>
        <v>0</v>
      </c>
      <c r="I19" s="540">
        <f>'Budget Details'!AF24</f>
        <v>0</v>
      </c>
      <c r="J19" s="541" t="s">
        <v>130</v>
      </c>
      <c r="K19" s="544">
        <f>SUM('Budget Details'!V24,'Budget Details'!V84)</f>
        <v>0</v>
      </c>
      <c r="L19" s="544">
        <f>SUM('Budget Details'!W24,'Budget Details'!W84)</f>
        <v>0</v>
      </c>
      <c r="M19" s="544">
        <f>SUM('Budget Details'!X24,'Budget Details'!X84)</f>
        <v>0</v>
      </c>
      <c r="N19" s="545">
        <f t="shared" si="1"/>
        <v>0</v>
      </c>
    </row>
    <row r="20" spans="1:14" ht="19.5" hidden="1" customHeight="1" outlineLevel="1" x14ac:dyDescent="0.25">
      <c r="A20" s="537"/>
      <c r="B20" s="540">
        <f>'Budget Details'!B25</f>
        <v>0</v>
      </c>
      <c r="C20" s="541" t="s">
        <v>130</v>
      </c>
      <c r="D20" s="542">
        <f>SUM('Budget Details'!Q25+'Budget Details'!Q85)</f>
        <v>0</v>
      </c>
      <c r="E20" s="542">
        <f>SUM('Budget Details'!R25+'Budget Details'!R85)</f>
        <v>0</v>
      </c>
      <c r="F20" s="542">
        <f>SUM('Budget Details'!S25+'Budget Details'!S85)</f>
        <v>0</v>
      </c>
      <c r="G20" s="543">
        <f t="shared" si="0"/>
        <v>0</v>
      </c>
      <c r="I20" s="540">
        <f>'Budget Details'!AF25</f>
        <v>0</v>
      </c>
      <c r="J20" s="541" t="s">
        <v>130</v>
      </c>
      <c r="K20" s="544">
        <f>SUM('Budget Details'!V25,'Budget Details'!V85)</f>
        <v>0</v>
      </c>
      <c r="L20" s="544">
        <f>SUM('Budget Details'!W25,'Budget Details'!W85)</f>
        <v>0</v>
      </c>
      <c r="M20" s="544">
        <f>SUM('Budget Details'!X25,'Budget Details'!X85)</f>
        <v>0</v>
      </c>
      <c r="N20" s="545">
        <f t="shared" si="1"/>
        <v>0</v>
      </c>
    </row>
    <row r="21" spans="1:14" ht="19.5" hidden="1" customHeight="1" outlineLevel="1" x14ac:dyDescent="0.25">
      <c r="A21" s="537"/>
      <c r="B21" s="540">
        <f>'Budget Details'!B26</f>
        <v>0</v>
      </c>
      <c r="C21" s="541" t="s">
        <v>130</v>
      </c>
      <c r="D21" s="542">
        <f>SUM('Budget Details'!Q26+'Budget Details'!Q86)</f>
        <v>0</v>
      </c>
      <c r="E21" s="542">
        <f>SUM('Budget Details'!R26+'Budget Details'!R86)</f>
        <v>0</v>
      </c>
      <c r="F21" s="542">
        <f>SUM('Budget Details'!S26+'Budget Details'!S86)</f>
        <v>0</v>
      </c>
      <c r="G21" s="543">
        <f t="shared" si="0"/>
        <v>0</v>
      </c>
      <c r="I21" s="540">
        <f>'Budget Details'!AF26</f>
        <v>0</v>
      </c>
      <c r="J21" s="541" t="s">
        <v>130</v>
      </c>
      <c r="K21" s="544">
        <f>SUM('Budget Details'!V26,'Budget Details'!V86)</f>
        <v>0</v>
      </c>
      <c r="L21" s="544">
        <f>SUM('Budget Details'!W26,'Budget Details'!W86)</f>
        <v>0</v>
      </c>
      <c r="M21" s="544">
        <f>SUM('Budget Details'!X26,'Budget Details'!X86)</f>
        <v>0</v>
      </c>
      <c r="N21" s="545">
        <f t="shared" si="1"/>
        <v>0</v>
      </c>
    </row>
    <row r="22" spans="1:14" ht="19.5" hidden="1" customHeight="1" outlineLevel="1" x14ac:dyDescent="0.25">
      <c r="A22" s="537"/>
      <c r="B22" s="540">
        <f>'Budget Details'!B27</f>
        <v>0</v>
      </c>
      <c r="C22" s="541" t="s">
        <v>130</v>
      </c>
      <c r="D22" s="542">
        <f>SUM('Budget Details'!Q27+'Budget Details'!Q87)</f>
        <v>0</v>
      </c>
      <c r="E22" s="542">
        <f>SUM('Budget Details'!R27+'Budget Details'!R87)</f>
        <v>0</v>
      </c>
      <c r="F22" s="542">
        <f>SUM('Budget Details'!S27+'Budget Details'!S87)</f>
        <v>0</v>
      </c>
      <c r="G22" s="543">
        <f t="shared" si="0"/>
        <v>0</v>
      </c>
      <c r="I22" s="540">
        <f>'Budget Details'!AF27</f>
        <v>0</v>
      </c>
      <c r="J22" s="541" t="s">
        <v>130</v>
      </c>
      <c r="K22" s="544">
        <f>SUM('Budget Details'!V27,'Budget Details'!V87)</f>
        <v>0</v>
      </c>
      <c r="L22" s="544">
        <f>SUM('Budget Details'!W27,'Budget Details'!W87)</f>
        <v>0</v>
      </c>
      <c r="M22" s="544">
        <f>SUM('Budget Details'!X27,'Budget Details'!X87)</f>
        <v>0</v>
      </c>
      <c r="N22" s="545">
        <f t="shared" si="1"/>
        <v>0</v>
      </c>
    </row>
    <row r="23" spans="1:14" ht="19.5" hidden="1" customHeight="1" outlineLevel="1" x14ac:dyDescent="0.25">
      <c r="A23" s="537"/>
      <c r="B23" s="540">
        <f>'Budget Details'!B28</f>
        <v>0</v>
      </c>
      <c r="C23" s="541" t="s">
        <v>130</v>
      </c>
      <c r="D23" s="542">
        <f>SUM('Budget Details'!Q28+'Budget Details'!Q88)</f>
        <v>0</v>
      </c>
      <c r="E23" s="542">
        <f>SUM('Budget Details'!R28+'Budget Details'!R88)</f>
        <v>0</v>
      </c>
      <c r="F23" s="542">
        <f>SUM('Budget Details'!S28+'Budget Details'!S88)</f>
        <v>0</v>
      </c>
      <c r="G23" s="543">
        <f t="shared" si="0"/>
        <v>0</v>
      </c>
      <c r="I23" s="540">
        <f>'Budget Details'!AF28</f>
        <v>0</v>
      </c>
      <c r="J23" s="541" t="s">
        <v>130</v>
      </c>
      <c r="K23" s="544">
        <f>SUM('Budget Details'!V28,'Budget Details'!V88)</f>
        <v>0</v>
      </c>
      <c r="L23" s="544">
        <f>SUM('Budget Details'!W28,'Budget Details'!W88)</f>
        <v>0</v>
      </c>
      <c r="M23" s="544">
        <f>SUM('Budget Details'!X28,'Budget Details'!X88)</f>
        <v>0</v>
      </c>
      <c r="N23" s="545">
        <f t="shared" si="1"/>
        <v>0</v>
      </c>
    </row>
    <row r="24" spans="1:14" ht="19.5" hidden="1" customHeight="1" outlineLevel="1" x14ac:dyDescent="0.25">
      <c r="A24" s="537"/>
      <c r="B24" s="540">
        <f>'Budget Details'!B29</f>
        <v>0</v>
      </c>
      <c r="C24" s="541" t="s">
        <v>130</v>
      </c>
      <c r="D24" s="542">
        <f>SUM('Budget Details'!Q29+'Budget Details'!Q89)</f>
        <v>0</v>
      </c>
      <c r="E24" s="542">
        <f>SUM('Budget Details'!R29+'Budget Details'!R89)</f>
        <v>0</v>
      </c>
      <c r="F24" s="542">
        <f>SUM('Budget Details'!S29+'Budget Details'!S89)</f>
        <v>0</v>
      </c>
      <c r="G24" s="543">
        <f t="shared" si="0"/>
        <v>0</v>
      </c>
      <c r="I24" s="540">
        <f>'Budget Details'!AF29</f>
        <v>0</v>
      </c>
      <c r="J24" s="541" t="s">
        <v>130</v>
      </c>
      <c r="K24" s="544">
        <f>SUM('Budget Details'!V29,'Budget Details'!V89)</f>
        <v>0</v>
      </c>
      <c r="L24" s="544">
        <f>SUM('Budget Details'!W29,'Budget Details'!W89)</f>
        <v>0</v>
      </c>
      <c r="M24" s="544">
        <f>SUM('Budget Details'!X29,'Budget Details'!X89)</f>
        <v>0</v>
      </c>
      <c r="N24" s="545">
        <f t="shared" si="1"/>
        <v>0</v>
      </c>
    </row>
    <row r="25" spans="1:14" ht="19.5" hidden="1" customHeight="1" outlineLevel="1" x14ac:dyDescent="0.25">
      <c r="A25" s="537"/>
      <c r="B25" s="540">
        <f>'Budget Details'!B30</f>
        <v>0</v>
      </c>
      <c r="C25" s="546" t="s">
        <v>130</v>
      </c>
      <c r="D25" s="542">
        <f>SUM('Budget Details'!Q30+'Budget Details'!Q90)</f>
        <v>0</v>
      </c>
      <c r="E25" s="542">
        <f>SUM('Budget Details'!R30+'Budget Details'!R90)</f>
        <v>0</v>
      </c>
      <c r="F25" s="542">
        <f>SUM('Budget Details'!S30+'Budget Details'!S90)</f>
        <v>0</v>
      </c>
      <c r="G25" s="543">
        <f t="shared" si="0"/>
        <v>0</v>
      </c>
      <c r="I25" s="540">
        <f>'Budget Details'!AF30</f>
        <v>0</v>
      </c>
      <c r="J25" s="546" t="s">
        <v>130</v>
      </c>
      <c r="K25" s="544">
        <f>SUM('Budget Details'!V30,'Budget Details'!V90)</f>
        <v>0</v>
      </c>
      <c r="L25" s="544">
        <f>SUM('Budget Details'!W30,'Budget Details'!W90)</f>
        <v>0</v>
      </c>
      <c r="M25" s="544">
        <f>SUM('Budget Details'!X30,'Budget Details'!X90)</f>
        <v>0</v>
      </c>
      <c r="N25" s="545">
        <f t="shared" si="1"/>
        <v>0</v>
      </c>
    </row>
    <row r="26" spans="1:14" ht="19.5" customHeight="1" collapsed="1" x14ac:dyDescent="0.25">
      <c r="A26" s="537"/>
      <c r="B26" s="932" t="s">
        <v>331</v>
      </c>
      <c r="C26" s="932"/>
      <c r="D26" s="547">
        <f>SUM(D6:D25)</f>
        <v>0</v>
      </c>
      <c r="E26" s="547">
        <f t="shared" ref="E26:F26" si="2">SUM(E6:E25)</f>
        <v>0</v>
      </c>
      <c r="F26" s="547">
        <f t="shared" si="2"/>
        <v>0</v>
      </c>
      <c r="G26" s="543">
        <f t="shared" si="0"/>
        <v>0</v>
      </c>
      <c r="I26" s="930" t="s">
        <v>332</v>
      </c>
      <c r="J26" s="930"/>
      <c r="K26" s="548">
        <f>SUM(K6:K25)</f>
        <v>0</v>
      </c>
      <c r="L26" s="548">
        <f t="shared" ref="L26:M26" si="3">SUM(L6:L25)</f>
        <v>0</v>
      </c>
      <c r="M26" s="548">
        <f t="shared" si="3"/>
        <v>0</v>
      </c>
      <c r="N26" s="545">
        <f t="shared" si="1"/>
        <v>0</v>
      </c>
    </row>
    <row r="27" spans="1:14" ht="19.5" customHeight="1" x14ac:dyDescent="0.25">
      <c r="A27" s="537"/>
      <c r="B27" s="537"/>
      <c r="C27" s="537"/>
      <c r="D27" s="549"/>
      <c r="E27" s="549"/>
      <c r="F27" s="549"/>
      <c r="G27" s="549"/>
      <c r="I27" s="537"/>
      <c r="J27" s="537"/>
      <c r="K27" s="549"/>
      <c r="L27" s="549"/>
      <c r="M27" s="549"/>
      <c r="N27" s="549"/>
    </row>
    <row r="28" spans="1:14" ht="19.5" customHeight="1" thickBot="1" x14ac:dyDescent="0.35">
      <c r="A28" s="927" t="s">
        <v>333</v>
      </c>
      <c r="B28" s="927"/>
      <c r="C28" s="927"/>
      <c r="D28" s="927"/>
      <c r="E28" s="927"/>
      <c r="F28" s="927"/>
      <c r="G28" s="536"/>
      <c r="I28" s="927" t="s">
        <v>333</v>
      </c>
      <c r="J28" s="927"/>
      <c r="K28" s="927"/>
      <c r="L28" s="927"/>
      <c r="M28" s="927"/>
      <c r="N28" s="536"/>
    </row>
    <row r="29" spans="1:14" ht="28.5" customHeight="1" thickTop="1" thickBot="1" x14ac:dyDescent="0.3">
      <c r="A29" s="537"/>
      <c r="B29" s="933" t="s">
        <v>334</v>
      </c>
      <c r="C29" s="933"/>
      <c r="D29" s="928" t="s">
        <v>335</v>
      </c>
      <c r="E29" s="928"/>
      <c r="F29" s="928"/>
      <c r="G29" s="538"/>
      <c r="I29" s="934" t="s">
        <v>334</v>
      </c>
      <c r="J29" s="934"/>
      <c r="K29" s="928" t="s">
        <v>335</v>
      </c>
      <c r="L29" s="928"/>
      <c r="M29" s="928"/>
      <c r="N29" s="538"/>
    </row>
    <row r="30" spans="1:14" ht="19.5" customHeight="1" thickBot="1" x14ac:dyDescent="0.3">
      <c r="A30" s="537"/>
      <c r="B30" s="933"/>
      <c r="C30" s="933"/>
      <c r="D30" s="539" t="s">
        <v>336</v>
      </c>
      <c r="E30" s="539" t="s">
        <v>329</v>
      </c>
      <c r="F30" s="539" t="s">
        <v>330</v>
      </c>
      <c r="G30" s="539" t="s">
        <v>331</v>
      </c>
      <c r="I30" s="935"/>
      <c r="J30" s="935"/>
      <c r="K30" s="539" t="s">
        <v>336</v>
      </c>
      <c r="L30" s="539" t="s">
        <v>329</v>
      </c>
      <c r="M30" s="539" t="s">
        <v>330</v>
      </c>
      <c r="N30" s="539" t="s">
        <v>331</v>
      </c>
    </row>
    <row r="31" spans="1:14" ht="19.5" customHeight="1" x14ac:dyDescent="0.25">
      <c r="A31" s="537"/>
      <c r="B31" s="931" t="str">
        <f>'Budget Details'!C34</f>
        <v>Research Assistant</v>
      </c>
      <c r="C31" s="931"/>
      <c r="D31" s="39">
        <f>SUM('Budget Details'!Q34,'Budget Details'!Q71)</f>
        <v>0</v>
      </c>
      <c r="E31" s="39">
        <f>SUM('Budget Details'!R34,'Budget Details'!R71)</f>
        <v>0</v>
      </c>
      <c r="F31" s="39">
        <f>SUM('Budget Details'!S34,'Budget Details'!S71)</f>
        <v>0</v>
      </c>
      <c r="G31" s="550">
        <f t="shared" ref="G31:G51" si="4">SUM(D31:F31)</f>
        <v>0</v>
      </c>
      <c r="I31" s="931" t="str">
        <f>'Budget Details'!AG34</f>
        <v>Research Assistant</v>
      </c>
      <c r="J31" s="931"/>
      <c r="K31" s="551">
        <f>SUM('Budget Details'!V34,'Budget Details'!V94)</f>
        <v>0</v>
      </c>
      <c r="L31" s="551">
        <f>SUM('Budget Details'!W34,'Budget Details'!W94)</f>
        <v>0</v>
      </c>
      <c r="M31" s="551">
        <f>SUM('Budget Details'!X34,'Budget Details'!X94)</f>
        <v>0</v>
      </c>
      <c r="N31" s="552">
        <f t="shared" ref="N31:N51" si="5">SUM(K31:M31)</f>
        <v>0</v>
      </c>
    </row>
    <row r="32" spans="1:14" ht="19.5" customHeight="1" x14ac:dyDescent="0.25">
      <c r="A32" s="537"/>
      <c r="B32" s="931" t="str">
        <f>'Budget Details'!C35</f>
        <v>Post-Doc</v>
      </c>
      <c r="C32" s="931"/>
      <c r="D32" s="39">
        <f>SUM('Budget Details'!Q35,'Budget Details'!Q72)</f>
        <v>0</v>
      </c>
      <c r="E32" s="39">
        <f>SUM('Budget Details'!R35,'Budget Details'!R72)</f>
        <v>0</v>
      </c>
      <c r="F32" s="39">
        <f>SUM('Budget Details'!S35,'Budget Details'!S72)</f>
        <v>0</v>
      </c>
      <c r="G32" s="550">
        <f t="shared" si="4"/>
        <v>0</v>
      </c>
      <c r="I32" s="931" t="str">
        <f>'Budget Details'!AG35</f>
        <v>Post-Doc</v>
      </c>
      <c r="J32" s="931"/>
      <c r="K32" s="551">
        <f>SUM('Budget Details'!V35,'Budget Details'!V95)</f>
        <v>0</v>
      </c>
      <c r="L32" s="551">
        <f>SUM('Budget Details'!W35,'Budget Details'!W95)</f>
        <v>0</v>
      </c>
      <c r="M32" s="551">
        <f>SUM('Budget Details'!X35,'Budget Details'!X95)</f>
        <v>0</v>
      </c>
      <c r="N32" s="552">
        <f t="shared" si="5"/>
        <v>0</v>
      </c>
    </row>
    <row r="33" spans="1:14" ht="19.5" customHeight="1" x14ac:dyDescent="0.25">
      <c r="A33" s="537"/>
      <c r="B33" s="931" t="str">
        <f>'Budget Details'!C36</f>
        <v xml:space="preserve">Undergrad - AY </v>
      </c>
      <c r="C33" s="931"/>
      <c r="D33" s="39">
        <f>SUM('Budget Details'!Q36,'Budget Details'!Q73)</f>
        <v>0</v>
      </c>
      <c r="E33" s="39">
        <f>SUM('Budget Details'!R36,'Budget Details'!R73)</f>
        <v>0</v>
      </c>
      <c r="F33" s="39">
        <f>SUM('Budget Details'!S36,'Budget Details'!S73)</f>
        <v>0</v>
      </c>
      <c r="G33" s="550">
        <f t="shared" si="4"/>
        <v>0</v>
      </c>
      <c r="I33" s="931" t="str">
        <f>'Budget Details'!AG36</f>
        <v xml:space="preserve">Undergrad - AY </v>
      </c>
      <c r="J33" s="931"/>
      <c r="K33" s="551">
        <f>SUM('Budget Details'!V36,'Budget Details'!V96)</f>
        <v>0</v>
      </c>
      <c r="L33" s="551">
        <f>SUM('Budget Details'!W36,'Budget Details'!W96)</f>
        <v>0</v>
      </c>
      <c r="M33" s="551">
        <f>SUM('Budget Details'!X36,'Budget Details'!X96)</f>
        <v>0</v>
      </c>
      <c r="N33" s="552">
        <f t="shared" si="5"/>
        <v>0</v>
      </c>
    </row>
    <row r="34" spans="1:14" ht="19.5" customHeight="1" x14ac:dyDescent="0.25">
      <c r="A34" s="537"/>
      <c r="B34" s="931" t="str">
        <f>'Budget Details'!C37</f>
        <v>Undergrad - SM</v>
      </c>
      <c r="C34" s="931"/>
      <c r="D34" s="39">
        <f>SUM('Budget Details'!Q37,'Budget Details'!Q74)</f>
        <v>0</v>
      </c>
      <c r="E34" s="39">
        <f>SUM('Budget Details'!R37,'Budget Details'!R74)</f>
        <v>0</v>
      </c>
      <c r="F34" s="39">
        <f>SUM('Budget Details'!S37,'Budget Details'!S74)</f>
        <v>0</v>
      </c>
      <c r="G34" s="550">
        <f t="shared" si="4"/>
        <v>0</v>
      </c>
      <c r="I34" s="931" t="str">
        <f>'Budget Details'!AG37</f>
        <v>Undergrad - SM</v>
      </c>
      <c r="J34" s="931"/>
      <c r="K34" s="551">
        <f>SUM('Budget Details'!V37,'Budget Details'!V97)</f>
        <v>0</v>
      </c>
      <c r="L34" s="551">
        <f>SUM('Budget Details'!W37,'Budget Details'!W97)</f>
        <v>0</v>
      </c>
      <c r="M34" s="551">
        <f>SUM('Budget Details'!X37,'Budget Details'!X97)</f>
        <v>0</v>
      </c>
      <c r="N34" s="552">
        <f t="shared" si="5"/>
        <v>0</v>
      </c>
    </row>
    <row r="35" spans="1:14" ht="19.5" customHeight="1" x14ac:dyDescent="0.25">
      <c r="A35" s="537"/>
      <c r="B35" s="931" t="str">
        <f>'Budget Details'!C38</f>
        <v>Temp Employee</v>
      </c>
      <c r="C35" s="931"/>
      <c r="D35" s="39">
        <f>SUM('Budget Details'!Q38,'Budget Details'!Q75)</f>
        <v>0</v>
      </c>
      <c r="E35" s="39">
        <f>SUM('Budget Details'!R38,'Budget Details'!R75)</f>
        <v>0</v>
      </c>
      <c r="F35" s="39">
        <f>SUM('Budget Details'!S38,'Budget Details'!S75)</f>
        <v>0</v>
      </c>
      <c r="G35" s="550">
        <f t="shared" si="4"/>
        <v>0</v>
      </c>
      <c r="I35" s="931" t="str">
        <f>'Budget Details'!AG38</f>
        <v>Temp Employee</v>
      </c>
      <c r="J35" s="931"/>
      <c r="K35" s="551">
        <f>SUM('Budget Details'!V38,'Budget Details'!V98)</f>
        <v>0</v>
      </c>
      <c r="L35" s="551">
        <f>SUM('Budget Details'!W38,'Budget Details'!W98)</f>
        <v>0</v>
      </c>
      <c r="M35" s="551">
        <f>SUM('Budget Details'!X38,'Budget Details'!X98)</f>
        <v>0</v>
      </c>
      <c r="N35" s="552">
        <f t="shared" si="5"/>
        <v>0</v>
      </c>
    </row>
    <row r="36" spans="1:14" ht="19.5" customHeight="1" x14ac:dyDescent="0.25">
      <c r="A36" s="537"/>
      <c r="B36" s="931" t="str">
        <f>'Budget Details'!C39</f>
        <v>Student Worker</v>
      </c>
      <c r="C36" s="931"/>
      <c r="D36" s="39">
        <f>SUM('Budget Details'!Q39,'Budget Details'!Q76)</f>
        <v>0</v>
      </c>
      <c r="E36" s="39">
        <f>SUM('Budget Details'!R39,'Budget Details'!R76)</f>
        <v>0</v>
      </c>
      <c r="F36" s="39">
        <f>SUM('Budget Details'!S39,'Budget Details'!S76)</f>
        <v>0</v>
      </c>
      <c r="G36" s="550">
        <f t="shared" si="4"/>
        <v>0</v>
      </c>
      <c r="I36" s="931" t="str">
        <f>'Budget Details'!AG39</f>
        <v>Student Worker</v>
      </c>
      <c r="J36" s="931"/>
      <c r="K36" s="551">
        <f>SUM('Budget Details'!V39,'Budget Details'!V99)</f>
        <v>0</v>
      </c>
      <c r="L36" s="551">
        <f>SUM('Budget Details'!W39,'Budget Details'!W99)</f>
        <v>0</v>
      </c>
      <c r="M36" s="551">
        <f>SUM('Budget Details'!X39,'Budget Details'!X99)</f>
        <v>0</v>
      </c>
      <c r="N36" s="552">
        <f t="shared" si="5"/>
        <v>0</v>
      </c>
    </row>
    <row r="37" spans="1:14" ht="19.5" customHeight="1" x14ac:dyDescent="0.25">
      <c r="A37" s="537"/>
      <c r="B37" s="931">
        <f>'Budget Details'!C40</f>
        <v>0</v>
      </c>
      <c r="C37" s="931"/>
      <c r="D37" s="39">
        <f>SUM('Budget Details'!Q40,'Budget Details'!Q77)</f>
        <v>0</v>
      </c>
      <c r="E37" s="39">
        <f>SUM('Budget Details'!R40,'Budget Details'!R77)</f>
        <v>0</v>
      </c>
      <c r="F37" s="39">
        <f>SUM('Budget Details'!S40,'Budget Details'!S77)</f>
        <v>0</v>
      </c>
      <c r="G37" s="550">
        <f t="shared" si="4"/>
        <v>0</v>
      </c>
      <c r="I37" s="931">
        <f>'Budget Details'!AG40</f>
        <v>0</v>
      </c>
      <c r="J37" s="931"/>
      <c r="K37" s="551">
        <f>SUM('Budget Details'!V40,'Budget Details'!V100)</f>
        <v>0</v>
      </c>
      <c r="L37" s="551">
        <f>SUM('Budget Details'!W40,'Budget Details'!W100)</f>
        <v>0</v>
      </c>
      <c r="M37" s="551">
        <f>SUM('Budget Details'!X40,'Budget Details'!X100)</f>
        <v>0</v>
      </c>
      <c r="N37" s="552">
        <f t="shared" si="5"/>
        <v>0</v>
      </c>
    </row>
    <row r="38" spans="1:14" ht="19.5" customHeight="1" x14ac:dyDescent="0.25">
      <c r="A38" s="537"/>
      <c r="B38" s="931">
        <f>'Budget Details'!C41</f>
        <v>0</v>
      </c>
      <c r="C38" s="931"/>
      <c r="D38" s="39">
        <f>SUM('Budget Details'!Q41,'Budget Details'!Q78)</f>
        <v>0</v>
      </c>
      <c r="E38" s="39">
        <f>SUM('Budget Details'!R41,'Budget Details'!R78)</f>
        <v>0</v>
      </c>
      <c r="F38" s="39">
        <f>SUM('Budget Details'!S41,'Budget Details'!S78)</f>
        <v>0</v>
      </c>
      <c r="G38" s="550">
        <f t="shared" si="4"/>
        <v>0</v>
      </c>
      <c r="I38" s="931">
        <f>'Budget Details'!AG41</f>
        <v>0</v>
      </c>
      <c r="J38" s="931"/>
      <c r="K38" s="551">
        <f>SUM('Budget Details'!V41,'Budget Details'!V101)</f>
        <v>0</v>
      </c>
      <c r="L38" s="551">
        <f>SUM('Budget Details'!W41,'Budget Details'!W101)</f>
        <v>0</v>
      </c>
      <c r="M38" s="551">
        <f>SUM('Budget Details'!X41,'Budget Details'!X101)</f>
        <v>0</v>
      </c>
      <c r="N38" s="552">
        <f t="shared" si="5"/>
        <v>0</v>
      </c>
    </row>
    <row r="39" spans="1:14" ht="19.5" customHeight="1" x14ac:dyDescent="0.25">
      <c r="A39" s="537"/>
      <c r="B39" s="931">
        <f>'Budget Details'!C42</f>
        <v>0</v>
      </c>
      <c r="C39" s="931"/>
      <c r="D39" s="39">
        <f>SUM('Budget Details'!Q42,'Budget Details'!Q79)</f>
        <v>0</v>
      </c>
      <c r="E39" s="39">
        <f>SUM('Budget Details'!R42,'Budget Details'!R79)</f>
        <v>0</v>
      </c>
      <c r="F39" s="39">
        <f>SUM('Budget Details'!S42,'Budget Details'!S79)</f>
        <v>0</v>
      </c>
      <c r="G39" s="550">
        <f t="shared" si="4"/>
        <v>0</v>
      </c>
      <c r="I39" s="931">
        <f>'Budget Details'!AG42</f>
        <v>0</v>
      </c>
      <c r="J39" s="931"/>
      <c r="K39" s="551">
        <f>SUM('Budget Details'!V42,'Budget Details'!V102)</f>
        <v>0</v>
      </c>
      <c r="L39" s="551">
        <f>SUM('Budget Details'!W42,'Budget Details'!W102)</f>
        <v>0</v>
      </c>
      <c r="M39" s="551">
        <f>SUM('Budget Details'!X42,'Budget Details'!X102)</f>
        <v>0</v>
      </c>
      <c r="N39" s="552">
        <f t="shared" si="5"/>
        <v>0</v>
      </c>
    </row>
    <row r="40" spans="1:14" ht="19.5" customHeight="1" x14ac:dyDescent="0.25">
      <c r="A40" s="537"/>
      <c r="B40" s="931">
        <f>'Budget Details'!C43</f>
        <v>0</v>
      </c>
      <c r="C40" s="931"/>
      <c r="D40" s="39">
        <f>SUM('Budget Details'!Q43,'Budget Details'!Q80)</f>
        <v>0</v>
      </c>
      <c r="E40" s="39">
        <f>SUM('Budget Details'!R43,'Budget Details'!R80)</f>
        <v>0</v>
      </c>
      <c r="F40" s="39">
        <f>SUM('Budget Details'!S43,'Budget Details'!S80)</f>
        <v>0</v>
      </c>
      <c r="G40" s="550">
        <f t="shared" si="4"/>
        <v>0</v>
      </c>
      <c r="I40" s="931">
        <f>'Budget Details'!AG43</f>
        <v>0</v>
      </c>
      <c r="J40" s="931"/>
      <c r="K40" s="551">
        <f>SUM('Budget Details'!V43,'Budget Details'!V103)</f>
        <v>0</v>
      </c>
      <c r="L40" s="551">
        <f>SUM('Budget Details'!W43,'Budget Details'!W103)</f>
        <v>0</v>
      </c>
      <c r="M40" s="551">
        <f>SUM('Budget Details'!X43,'Budget Details'!X103)</f>
        <v>0</v>
      </c>
      <c r="N40" s="552">
        <f t="shared" si="5"/>
        <v>0</v>
      </c>
    </row>
    <row r="41" spans="1:14" ht="19.5" hidden="1" customHeight="1" outlineLevel="1" x14ac:dyDescent="0.25">
      <c r="A41" s="537"/>
      <c r="B41" s="931">
        <f>'Budget Details'!C44</f>
        <v>0</v>
      </c>
      <c r="C41" s="931"/>
      <c r="D41" s="39">
        <f>SUM('Budget Details'!Q44,'Budget Details'!Q81)</f>
        <v>0</v>
      </c>
      <c r="E41" s="39">
        <f>SUM('Budget Details'!R44,'Budget Details'!R81)</f>
        <v>0</v>
      </c>
      <c r="F41" s="39">
        <f>SUM('Budget Details'!S44,'Budget Details'!S81)</f>
        <v>0</v>
      </c>
      <c r="G41" s="550">
        <f t="shared" si="4"/>
        <v>0</v>
      </c>
      <c r="I41" s="931">
        <f>'Budget Details'!AG44</f>
        <v>0</v>
      </c>
      <c r="J41" s="931"/>
      <c r="K41" s="551">
        <f>SUM('Budget Details'!V44,'Budget Details'!V104)</f>
        <v>0</v>
      </c>
      <c r="L41" s="551">
        <f>SUM('Budget Details'!W44,'Budget Details'!W104)</f>
        <v>0</v>
      </c>
      <c r="M41" s="551">
        <f>SUM('Budget Details'!X44,'Budget Details'!X104)</f>
        <v>0</v>
      </c>
      <c r="N41" s="552">
        <f t="shared" si="5"/>
        <v>0</v>
      </c>
    </row>
    <row r="42" spans="1:14" ht="19.5" hidden="1" customHeight="1" outlineLevel="1" x14ac:dyDescent="0.25">
      <c r="A42" s="537"/>
      <c r="B42" s="931">
        <f>'Budget Details'!C45</f>
        <v>0</v>
      </c>
      <c r="C42" s="931"/>
      <c r="D42" s="39">
        <f>SUM('Budget Details'!Q45,'Budget Details'!Q82)</f>
        <v>0</v>
      </c>
      <c r="E42" s="39">
        <f>SUM('Budget Details'!R45,'Budget Details'!R82)</f>
        <v>0</v>
      </c>
      <c r="F42" s="39">
        <f>SUM('Budget Details'!S45,'Budget Details'!S82)</f>
        <v>0</v>
      </c>
      <c r="G42" s="550">
        <f t="shared" si="4"/>
        <v>0</v>
      </c>
      <c r="I42" s="931">
        <f>'Budget Details'!AG45</f>
        <v>0</v>
      </c>
      <c r="J42" s="931"/>
      <c r="K42" s="551">
        <f>SUM('Budget Details'!V45,'Budget Details'!V105)</f>
        <v>0</v>
      </c>
      <c r="L42" s="551">
        <f>SUM('Budget Details'!W45,'Budget Details'!W105)</f>
        <v>0</v>
      </c>
      <c r="M42" s="551">
        <f>SUM('Budget Details'!X45,'Budget Details'!X105)</f>
        <v>0</v>
      </c>
      <c r="N42" s="552">
        <f t="shared" si="5"/>
        <v>0</v>
      </c>
    </row>
    <row r="43" spans="1:14" ht="19.5" hidden="1" customHeight="1" outlineLevel="1" x14ac:dyDescent="0.25">
      <c r="A43" s="537"/>
      <c r="B43" s="931">
        <f>'Budget Details'!C46</f>
        <v>0</v>
      </c>
      <c r="C43" s="931"/>
      <c r="D43" s="39">
        <f>SUM('Budget Details'!Q46,'Budget Details'!Q83)</f>
        <v>0</v>
      </c>
      <c r="E43" s="39">
        <f>SUM('Budget Details'!R46,'Budget Details'!R83)</f>
        <v>0</v>
      </c>
      <c r="F43" s="39">
        <f>SUM('Budget Details'!S46,'Budget Details'!S83)</f>
        <v>0</v>
      </c>
      <c r="G43" s="550">
        <f t="shared" si="4"/>
        <v>0</v>
      </c>
      <c r="I43" s="931">
        <f>'Budget Details'!AG46</f>
        <v>0</v>
      </c>
      <c r="J43" s="931"/>
      <c r="K43" s="551">
        <f>SUM('Budget Details'!V46,'Budget Details'!V106)</f>
        <v>0</v>
      </c>
      <c r="L43" s="551">
        <f>SUM('Budget Details'!W46,'Budget Details'!W106)</f>
        <v>0</v>
      </c>
      <c r="M43" s="551">
        <f>SUM('Budget Details'!X46,'Budget Details'!X106)</f>
        <v>0</v>
      </c>
      <c r="N43" s="552">
        <f t="shared" si="5"/>
        <v>0</v>
      </c>
    </row>
    <row r="44" spans="1:14" ht="19.5" hidden="1" customHeight="1" outlineLevel="1" x14ac:dyDescent="0.25">
      <c r="A44" s="537"/>
      <c r="B44" s="931">
        <f>'Budget Details'!C47</f>
        <v>0</v>
      </c>
      <c r="C44" s="931"/>
      <c r="D44" s="39">
        <f>SUM('Budget Details'!Q47,'Budget Details'!Q84)</f>
        <v>0</v>
      </c>
      <c r="E44" s="39">
        <f>SUM('Budget Details'!R47,'Budget Details'!R84)</f>
        <v>0</v>
      </c>
      <c r="F44" s="39">
        <f>SUM('Budget Details'!S47,'Budget Details'!S84)</f>
        <v>0</v>
      </c>
      <c r="G44" s="550">
        <f t="shared" si="4"/>
        <v>0</v>
      </c>
      <c r="I44" s="931">
        <f>'Budget Details'!AG47</f>
        <v>0</v>
      </c>
      <c r="J44" s="931"/>
      <c r="K44" s="551">
        <f>SUM('Budget Details'!V47,'Budget Details'!V107)</f>
        <v>0</v>
      </c>
      <c r="L44" s="551">
        <f>SUM('Budget Details'!W47,'Budget Details'!W107)</f>
        <v>0</v>
      </c>
      <c r="M44" s="551">
        <f>SUM('Budget Details'!X47,'Budget Details'!X107)</f>
        <v>0</v>
      </c>
      <c r="N44" s="552">
        <f t="shared" si="5"/>
        <v>0</v>
      </c>
    </row>
    <row r="45" spans="1:14" ht="19.5" hidden="1" customHeight="1" outlineLevel="1" x14ac:dyDescent="0.25">
      <c r="A45" s="537"/>
      <c r="B45" s="931">
        <f>'Budget Details'!C48</f>
        <v>0</v>
      </c>
      <c r="C45" s="931"/>
      <c r="D45" s="39">
        <f>SUM('Budget Details'!Q48,'Budget Details'!Q85)</f>
        <v>0</v>
      </c>
      <c r="E45" s="39">
        <f>SUM('Budget Details'!R48,'Budget Details'!R85)</f>
        <v>0</v>
      </c>
      <c r="F45" s="39">
        <f>SUM('Budget Details'!S48,'Budget Details'!S85)</f>
        <v>0</v>
      </c>
      <c r="G45" s="550">
        <f t="shared" si="4"/>
        <v>0</v>
      </c>
      <c r="I45" s="931">
        <f>'Budget Details'!AG48</f>
        <v>0</v>
      </c>
      <c r="J45" s="931"/>
      <c r="K45" s="551">
        <f>SUM('Budget Details'!V48,'Budget Details'!V108)</f>
        <v>0</v>
      </c>
      <c r="L45" s="551">
        <f>SUM('Budget Details'!W48,'Budget Details'!W108)</f>
        <v>0</v>
      </c>
      <c r="M45" s="551">
        <f>SUM('Budget Details'!X48,'Budget Details'!X108)</f>
        <v>0</v>
      </c>
      <c r="N45" s="552">
        <f t="shared" si="5"/>
        <v>0</v>
      </c>
    </row>
    <row r="46" spans="1:14" ht="19.5" hidden="1" customHeight="1" outlineLevel="1" x14ac:dyDescent="0.25">
      <c r="A46" s="537"/>
      <c r="B46" s="931">
        <f>'Budget Details'!C49</f>
        <v>0</v>
      </c>
      <c r="C46" s="931"/>
      <c r="D46" s="39">
        <f>SUM('Budget Details'!Q49,'Budget Details'!Q86)</f>
        <v>0</v>
      </c>
      <c r="E46" s="39">
        <f>SUM('Budget Details'!R49,'Budget Details'!R86)</f>
        <v>0</v>
      </c>
      <c r="F46" s="39">
        <f>SUM('Budget Details'!S49,'Budget Details'!S86)</f>
        <v>0</v>
      </c>
      <c r="G46" s="550">
        <f t="shared" si="4"/>
        <v>0</v>
      </c>
      <c r="I46" s="931">
        <f>'Budget Details'!AG49</f>
        <v>0</v>
      </c>
      <c r="J46" s="931"/>
      <c r="K46" s="551">
        <f>SUM('Budget Details'!V49,'Budget Details'!V109)</f>
        <v>0</v>
      </c>
      <c r="L46" s="551">
        <f>SUM('Budget Details'!W49,'Budget Details'!W109)</f>
        <v>0</v>
      </c>
      <c r="M46" s="551">
        <f>SUM('Budget Details'!X49,'Budget Details'!X109)</f>
        <v>0</v>
      </c>
      <c r="N46" s="552">
        <f t="shared" si="5"/>
        <v>0</v>
      </c>
    </row>
    <row r="47" spans="1:14" ht="19.5" hidden="1" customHeight="1" outlineLevel="1" x14ac:dyDescent="0.25">
      <c r="A47" s="537"/>
      <c r="B47" s="931">
        <f>'Budget Details'!C50</f>
        <v>0</v>
      </c>
      <c r="C47" s="931"/>
      <c r="D47" s="39">
        <f>SUM('Budget Details'!Q50,'Budget Details'!Q87)</f>
        <v>0</v>
      </c>
      <c r="E47" s="39">
        <f>SUM('Budget Details'!R50,'Budget Details'!R87)</f>
        <v>0</v>
      </c>
      <c r="F47" s="39">
        <f>SUM('Budget Details'!S50,'Budget Details'!S87)</f>
        <v>0</v>
      </c>
      <c r="G47" s="550">
        <f t="shared" si="4"/>
        <v>0</v>
      </c>
      <c r="I47" s="931">
        <f>'Budget Details'!AG50</f>
        <v>0</v>
      </c>
      <c r="J47" s="931"/>
      <c r="K47" s="551">
        <f>SUM('Budget Details'!V50,'Budget Details'!V110)</f>
        <v>0</v>
      </c>
      <c r="L47" s="551">
        <f>SUM('Budget Details'!W50,'Budget Details'!W110)</f>
        <v>0</v>
      </c>
      <c r="M47" s="551">
        <f>SUM('Budget Details'!X50,'Budget Details'!X110)</f>
        <v>0</v>
      </c>
      <c r="N47" s="552">
        <f t="shared" si="5"/>
        <v>0</v>
      </c>
    </row>
    <row r="48" spans="1:14" ht="19.5" hidden="1" customHeight="1" outlineLevel="1" x14ac:dyDescent="0.25">
      <c r="A48" s="537"/>
      <c r="B48" s="931">
        <f>'Budget Details'!C51</f>
        <v>0</v>
      </c>
      <c r="C48" s="931"/>
      <c r="D48" s="39">
        <f>SUM('Budget Details'!Q51,'Budget Details'!Q88)</f>
        <v>0</v>
      </c>
      <c r="E48" s="39">
        <f>SUM('Budget Details'!R51,'Budget Details'!R88)</f>
        <v>0</v>
      </c>
      <c r="F48" s="39">
        <f>SUM('Budget Details'!S51,'Budget Details'!S88)</f>
        <v>0</v>
      </c>
      <c r="G48" s="550">
        <f t="shared" si="4"/>
        <v>0</v>
      </c>
      <c r="I48" s="931">
        <f>'Budget Details'!AG51</f>
        <v>0</v>
      </c>
      <c r="J48" s="931"/>
      <c r="K48" s="551">
        <f>SUM('Budget Details'!V51,'Budget Details'!V111)</f>
        <v>0</v>
      </c>
      <c r="L48" s="551">
        <f>SUM('Budget Details'!W51,'Budget Details'!W111)</f>
        <v>0</v>
      </c>
      <c r="M48" s="551">
        <f>SUM('Budget Details'!X51,'Budget Details'!X111)</f>
        <v>0</v>
      </c>
      <c r="N48" s="552">
        <f t="shared" si="5"/>
        <v>0</v>
      </c>
    </row>
    <row r="49" spans="1:14" ht="19.5" hidden="1" customHeight="1" outlineLevel="1" x14ac:dyDescent="0.25">
      <c r="A49" s="537"/>
      <c r="B49" s="931">
        <f>'Budget Details'!C52</f>
        <v>0</v>
      </c>
      <c r="C49" s="931"/>
      <c r="D49" s="39">
        <f>SUM('Budget Details'!Q52,'Budget Details'!Q89)</f>
        <v>0</v>
      </c>
      <c r="E49" s="39">
        <f>SUM('Budget Details'!R52,'Budget Details'!R89)</f>
        <v>0</v>
      </c>
      <c r="F49" s="39">
        <f>SUM('Budget Details'!S52,'Budget Details'!S89)</f>
        <v>0</v>
      </c>
      <c r="G49" s="550">
        <f t="shared" si="4"/>
        <v>0</v>
      </c>
      <c r="I49" s="931">
        <f>'Budget Details'!AG52</f>
        <v>0</v>
      </c>
      <c r="J49" s="931"/>
      <c r="K49" s="551">
        <f>SUM('Budget Details'!V52,'Budget Details'!V112)</f>
        <v>0</v>
      </c>
      <c r="L49" s="551">
        <f>SUM('Budget Details'!W52,'Budget Details'!W112)</f>
        <v>0</v>
      </c>
      <c r="M49" s="551">
        <f>SUM('Budget Details'!X52,'Budget Details'!X112)</f>
        <v>0</v>
      </c>
      <c r="N49" s="552">
        <f t="shared" si="5"/>
        <v>0</v>
      </c>
    </row>
    <row r="50" spans="1:14" ht="19.5" hidden="1" customHeight="1" outlineLevel="1" x14ac:dyDescent="0.25">
      <c r="A50" s="537"/>
      <c r="B50" s="931">
        <f>'Budget Details'!C53</f>
        <v>0</v>
      </c>
      <c r="C50" s="931"/>
      <c r="D50" s="39">
        <f>SUM('Budget Details'!Q53,'Budget Details'!Q90)</f>
        <v>0</v>
      </c>
      <c r="E50" s="39">
        <f>SUM('Budget Details'!R53,'Budget Details'!R90)</f>
        <v>0</v>
      </c>
      <c r="F50" s="39">
        <f>SUM('Budget Details'!S53,'Budget Details'!S90)</f>
        <v>0</v>
      </c>
      <c r="G50" s="550">
        <f t="shared" si="4"/>
        <v>0</v>
      </c>
      <c r="I50" s="931">
        <f>'Budget Details'!AG53</f>
        <v>0</v>
      </c>
      <c r="J50" s="931"/>
      <c r="K50" s="551">
        <f>SUM('Budget Details'!V53,'Budget Details'!V113)</f>
        <v>0</v>
      </c>
      <c r="L50" s="551">
        <f>SUM('Budget Details'!W53,'Budget Details'!W113)</f>
        <v>0</v>
      </c>
      <c r="M50" s="551">
        <f>SUM('Budget Details'!X53,'Budget Details'!X113)</f>
        <v>0</v>
      </c>
      <c r="N50" s="552">
        <f t="shared" si="5"/>
        <v>0</v>
      </c>
    </row>
    <row r="51" spans="1:14" ht="19.5" customHeight="1" collapsed="1" x14ac:dyDescent="0.25">
      <c r="A51" s="537"/>
      <c r="B51" s="932" t="s">
        <v>331</v>
      </c>
      <c r="C51" s="932"/>
      <c r="D51" s="553">
        <f>SUM(D31:D50)</f>
        <v>0</v>
      </c>
      <c r="E51" s="553">
        <f t="shared" ref="E51:F51" si="6">SUM(E31:E50)</f>
        <v>0</v>
      </c>
      <c r="F51" s="553">
        <f t="shared" si="6"/>
        <v>0</v>
      </c>
      <c r="G51" s="550">
        <f t="shared" si="4"/>
        <v>0</v>
      </c>
      <c r="I51" s="930" t="s">
        <v>331</v>
      </c>
      <c r="J51" s="930"/>
      <c r="K51" s="548">
        <f>SUM(K31:K50)</f>
        <v>0</v>
      </c>
      <c r="L51" s="548">
        <f t="shared" ref="L51:M51" si="7">SUM(L31:L50)</f>
        <v>0</v>
      </c>
      <c r="M51" s="548">
        <f t="shared" si="7"/>
        <v>0</v>
      </c>
      <c r="N51" s="552">
        <f t="shared" si="5"/>
        <v>0</v>
      </c>
    </row>
    <row r="52" spans="1:14" ht="19.5" customHeight="1" x14ac:dyDescent="0.25">
      <c r="A52" s="537"/>
      <c r="B52" s="554"/>
      <c r="C52" s="554"/>
      <c r="D52" s="549"/>
      <c r="E52" s="549"/>
      <c r="F52" s="549"/>
      <c r="G52" s="549"/>
      <c r="I52" s="537"/>
      <c r="J52" s="537"/>
      <c r="K52" s="537"/>
      <c r="L52" s="537"/>
      <c r="M52" s="537"/>
      <c r="N52" s="537"/>
    </row>
    <row r="53" spans="1:14" ht="19.5" customHeight="1" thickBot="1" x14ac:dyDescent="0.35">
      <c r="A53" s="537"/>
      <c r="B53" s="927" t="s">
        <v>337</v>
      </c>
      <c r="C53" s="927"/>
      <c r="D53" s="927"/>
      <c r="E53" s="927"/>
      <c r="F53" s="927"/>
      <c r="G53" s="536"/>
      <c r="I53" s="927" t="s">
        <v>337</v>
      </c>
      <c r="J53" s="927"/>
      <c r="K53" s="927"/>
      <c r="L53" s="927"/>
      <c r="M53" s="927"/>
      <c r="N53" s="536"/>
    </row>
    <row r="54" spans="1:14" ht="19.5" customHeight="1" thickTop="1" thickBot="1" x14ac:dyDescent="0.3">
      <c r="B54" s="539" t="s">
        <v>116</v>
      </c>
      <c r="C54" s="539" t="s">
        <v>338</v>
      </c>
      <c r="D54" s="928" t="s">
        <v>339</v>
      </c>
      <c r="E54" s="928"/>
      <c r="F54" s="928"/>
      <c r="G54" s="538"/>
      <c r="I54" s="539" t="s">
        <v>116</v>
      </c>
      <c r="J54" s="539" t="s">
        <v>338</v>
      </c>
      <c r="K54" s="928" t="s">
        <v>339</v>
      </c>
      <c r="L54" s="928"/>
      <c r="M54" s="928"/>
      <c r="N54" s="538"/>
    </row>
    <row r="55" spans="1:14" ht="19.5" customHeight="1" thickBot="1" x14ac:dyDescent="0.3">
      <c r="B55" s="539"/>
      <c r="C55" s="539"/>
      <c r="D55" s="539" t="s">
        <v>328</v>
      </c>
      <c r="E55" s="539" t="s">
        <v>329</v>
      </c>
      <c r="F55" s="539" t="s">
        <v>330</v>
      </c>
      <c r="G55" s="539" t="s">
        <v>331</v>
      </c>
      <c r="I55" s="539"/>
      <c r="J55" s="539"/>
      <c r="K55" s="539" t="s">
        <v>328</v>
      </c>
      <c r="L55" s="539" t="s">
        <v>329</v>
      </c>
      <c r="M55" s="539" t="s">
        <v>330</v>
      </c>
      <c r="N55" s="539" t="s">
        <v>331</v>
      </c>
    </row>
    <row r="56" spans="1:14" ht="19.5" customHeight="1" x14ac:dyDescent="0.25">
      <c r="B56" s="555" t="str">
        <f>'Budget Details'!C57</f>
        <v>GRA # 1</v>
      </c>
      <c r="C56" s="555" t="str">
        <f>'Budget Details'!D57</f>
        <v>Full year</v>
      </c>
      <c r="D56" s="556">
        <f>SUM('Budget Details'!Q57,'Budget Details'!Q117)</f>
        <v>0</v>
      </c>
      <c r="E56" s="556">
        <f>SUM('Budget Details'!R57,'Budget Details'!R117)</f>
        <v>0</v>
      </c>
      <c r="F56" s="556">
        <f>SUM('Budget Details'!S57,'Budget Details'!S117)</f>
        <v>0</v>
      </c>
      <c r="G56" s="557">
        <f t="shared" ref="G56:G66" si="8">SUM(D56:F56)</f>
        <v>0</v>
      </c>
      <c r="I56" s="555" t="str">
        <f>'Budget Details'!AG57</f>
        <v>GRA # 0</v>
      </c>
      <c r="J56" s="555" t="str">
        <f>'Budget Details'!AH57</f>
        <v>Fall</v>
      </c>
      <c r="K56" s="558">
        <f>SUM('Budget Details'!V57,'Budget Details'!V117)</f>
        <v>0</v>
      </c>
      <c r="L56" s="558">
        <f>SUM('Budget Details'!W57,'Budget Details'!W117)</f>
        <v>0</v>
      </c>
      <c r="M56" s="558">
        <f>SUM('Budget Details'!X57,'Budget Details'!X117)</f>
        <v>0</v>
      </c>
      <c r="N56" s="559">
        <f t="shared" ref="N56:N66" si="9">SUM(K56:M56)</f>
        <v>0</v>
      </c>
    </row>
    <row r="57" spans="1:14" ht="19.5" customHeight="1" thickBot="1" x14ac:dyDescent="0.3">
      <c r="B57" s="560">
        <f>'Budget Details'!C58</f>
        <v>0</v>
      </c>
      <c r="C57" s="560" t="str">
        <f>'Budget Details'!D58</f>
        <v>Summer</v>
      </c>
      <c r="D57" s="561">
        <f>SUM('Budget Details'!Q58,'Budget Details'!Q118)</f>
        <v>0</v>
      </c>
      <c r="E57" s="561">
        <f>SUM('Budget Details'!R58,'Budget Details'!R118)</f>
        <v>0</v>
      </c>
      <c r="F57" s="561">
        <f>SUM('Budget Details'!S58,'Budget Details'!S118)</f>
        <v>0</v>
      </c>
      <c r="G57" s="562">
        <f t="shared" si="8"/>
        <v>0</v>
      </c>
      <c r="I57" s="560">
        <f>'Budget Details'!AG58</f>
        <v>0</v>
      </c>
      <c r="J57" s="560" t="str">
        <f>'Budget Details'!AH58</f>
        <v>Summer</v>
      </c>
      <c r="K57" s="563">
        <f>SUM('Budget Details'!V58,'Budget Details'!V118)</f>
        <v>0</v>
      </c>
      <c r="L57" s="563">
        <f>SUM('Budget Details'!W58,'Budget Details'!W118)</f>
        <v>0</v>
      </c>
      <c r="M57" s="563">
        <f>SUM('Budget Details'!X58,'Budget Details'!X118)</f>
        <v>0</v>
      </c>
      <c r="N57" s="564">
        <f t="shared" si="9"/>
        <v>0</v>
      </c>
    </row>
    <row r="58" spans="1:14" ht="19.5" customHeight="1" x14ac:dyDescent="0.25">
      <c r="B58" s="565" t="str">
        <f>'Budget Details'!C59</f>
        <v>GRA #2</v>
      </c>
      <c r="C58" s="565" t="str">
        <f>'Budget Details'!D59</f>
        <v>Fall</v>
      </c>
      <c r="D58" s="566">
        <f>SUM('Budget Details'!Q59,'Budget Details'!Q121)</f>
        <v>0</v>
      </c>
      <c r="E58" s="566">
        <f>SUM('Budget Details'!R59,'Budget Details'!R121)</f>
        <v>0</v>
      </c>
      <c r="F58" s="566">
        <f>SUM('Budget Details'!S59,'Budget Details'!S121)</f>
        <v>0</v>
      </c>
      <c r="G58" s="567">
        <f t="shared" si="8"/>
        <v>0</v>
      </c>
      <c r="I58" s="565" t="str">
        <f>'Budget Details'!AG59</f>
        <v>GRA #1</v>
      </c>
      <c r="J58" s="565" t="str">
        <f>'Budget Details'!AH59</f>
        <v>Spring</v>
      </c>
      <c r="K58" s="568">
        <f>SUM('Budget Details'!V59,'Budget Details'!V121)</f>
        <v>0</v>
      </c>
      <c r="L58" s="568">
        <f>SUM('Budget Details'!W59,'Budget Details'!W121)</f>
        <v>0</v>
      </c>
      <c r="M58" s="568">
        <f>SUM('Budget Details'!X59,'Budget Details'!X121)</f>
        <v>0</v>
      </c>
      <c r="N58" s="569">
        <f t="shared" si="9"/>
        <v>0</v>
      </c>
    </row>
    <row r="59" spans="1:14" ht="19.5" customHeight="1" thickBot="1" x14ac:dyDescent="0.3">
      <c r="B59" s="560">
        <f>'Budget Details'!C60</f>
        <v>0</v>
      </c>
      <c r="C59" s="560" t="str">
        <f>'Budget Details'!D60</f>
        <v>Summer</v>
      </c>
      <c r="D59" s="561">
        <f>SUM('Budget Details'!Q60,'Budget Details'!Q122)</f>
        <v>0</v>
      </c>
      <c r="E59" s="561">
        <f>SUM('Budget Details'!R60,'Budget Details'!R122)</f>
        <v>0</v>
      </c>
      <c r="F59" s="561">
        <f>SUM('Budget Details'!S60,'Budget Details'!S122)</f>
        <v>0</v>
      </c>
      <c r="G59" s="562">
        <f t="shared" si="8"/>
        <v>0</v>
      </c>
      <c r="I59" s="560">
        <f>'Budget Details'!AG60</f>
        <v>0</v>
      </c>
      <c r="J59" s="560" t="str">
        <f>'Budget Details'!AH60</f>
        <v>Summer</v>
      </c>
      <c r="K59" s="570">
        <f>SUM('Budget Details'!V60,'Budget Details'!V122)</f>
        <v>0</v>
      </c>
      <c r="L59" s="570">
        <f>SUM('Budget Details'!W60,'Budget Details'!W122)</f>
        <v>0</v>
      </c>
      <c r="M59" s="570">
        <f>SUM('Budget Details'!X60,'Budget Details'!X122)</f>
        <v>0</v>
      </c>
      <c r="N59" s="571">
        <f t="shared" si="9"/>
        <v>0</v>
      </c>
    </row>
    <row r="60" spans="1:14" ht="19.5" customHeight="1" x14ac:dyDescent="0.25">
      <c r="B60" s="565" t="str">
        <f>'Budget Details'!C61</f>
        <v>GRA #3</v>
      </c>
      <c r="C60" s="565" t="str">
        <f>'Budget Details'!D61</f>
        <v>Spring</v>
      </c>
      <c r="D60" s="566">
        <f>SUM('Budget Details'!Q61,'Budget Details'!Q125)</f>
        <v>0</v>
      </c>
      <c r="E60" s="566">
        <f>SUM('Budget Details'!R61,'Budget Details'!R125)</f>
        <v>0</v>
      </c>
      <c r="F60" s="566">
        <f>SUM('Budget Details'!S61,'Budget Details'!S125)</f>
        <v>0</v>
      </c>
      <c r="G60" s="567">
        <f t="shared" si="8"/>
        <v>0</v>
      </c>
      <c r="I60" s="565" t="str">
        <f>'Budget Details'!AG61</f>
        <v>GRA #3</v>
      </c>
      <c r="J60" s="565" t="str">
        <f>'Budget Details'!AH61</f>
        <v>Fall</v>
      </c>
      <c r="K60" s="568">
        <f>SUM('Budget Details'!V61,'Budget Details'!V125)</f>
        <v>0</v>
      </c>
      <c r="L60" s="568">
        <f>SUM('Budget Details'!W61,'Budget Details'!W125)</f>
        <v>0</v>
      </c>
      <c r="M60" s="568">
        <f>SUM('Budget Details'!X61,'Budget Details'!X125)</f>
        <v>0</v>
      </c>
      <c r="N60" s="572">
        <f t="shared" si="9"/>
        <v>0</v>
      </c>
    </row>
    <row r="61" spans="1:14" ht="19.5" customHeight="1" thickBot="1" x14ac:dyDescent="0.3">
      <c r="B61" s="560">
        <f>'Budget Details'!C62</f>
        <v>0</v>
      </c>
      <c r="C61" s="560" t="str">
        <f>'Budget Details'!D62</f>
        <v>Summer</v>
      </c>
      <c r="D61" s="561">
        <f>SUM('Budget Details'!Q62,'Budget Details'!Q126)</f>
        <v>0</v>
      </c>
      <c r="E61" s="561">
        <f>SUM('Budget Details'!R62,'Budget Details'!R126)</f>
        <v>0</v>
      </c>
      <c r="F61" s="561">
        <f>SUM('Budget Details'!S62,'Budget Details'!S126)</f>
        <v>0</v>
      </c>
      <c r="G61" s="562">
        <f t="shared" si="8"/>
        <v>0</v>
      </c>
      <c r="I61" s="560">
        <f>'Budget Details'!AG62</f>
        <v>0</v>
      </c>
      <c r="J61" s="560" t="str">
        <f>'Budget Details'!AH62</f>
        <v>Summer</v>
      </c>
      <c r="K61" s="570">
        <f>SUM('Budget Details'!V62,'Budget Details'!V126)</f>
        <v>0</v>
      </c>
      <c r="L61" s="570">
        <f>SUM('Budget Details'!W62,'Budget Details'!W126)</f>
        <v>0</v>
      </c>
      <c r="M61" s="570">
        <f>SUM('Budget Details'!X62,'Budget Details'!X126)</f>
        <v>0</v>
      </c>
      <c r="N61" s="564">
        <f t="shared" si="9"/>
        <v>0</v>
      </c>
    </row>
    <row r="62" spans="1:14" ht="19.5" customHeight="1" x14ac:dyDescent="0.25">
      <c r="B62" s="565" t="str">
        <f>'Budget Details'!C63</f>
        <v>GRA #4</v>
      </c>
      <c r="C62" s="565" t="str">
        <f>'Budget Details'!D63</f>
        <v>Full year</v>
      </c>
      <c r="D62" s="566">
        <f>SUM('Budget Details'!Q63,'Budget Details'!Q129)</f>
        <v>0</v>
      </c>
      <c r="E62" s="566">
        <f>SUM('Budget Details'!R63,'Budget Details'!R129)</f>
        <v>0</v>
      </c>
      <c r="F62" s="566">
        <f>SUM('Budget Details'!S63,'Budget Details'!S129)</f>
        <v>0</v>
      </c>
      <c r="G62" s="567">
        <f t="shared" si="8"/>
        <v>0</v>
      </c>
      <c r="I62" s="565" t="str">
        <f>'Budget Details'!AG63</f>
        <v>GRA #4</v>
      </c>
      <c r="J62" s="565" t="str">
        <f>'Budget Details'!AH63</f>
        <v>Full year</v>
      </c>
      <c r="K62" s="568">
        <f>SUM('Budget Details'!V63,'Budget Details'!V129)</f>
        <v>0</v>
      </c>
      <c r="L62" s="568">
        <f>SUM('Budget Details'!W63,'Budget Details'!W129)</f>
        <v>0</v>
      </c>
      <c r="M62" s="568">
        <f>SUM('Budget Details'!X63,'Budget Details'!X129)</f>
        <v>0</v>
      </c>
      <c r="N62" s="569">
        <f t="shared" si="9"/>
        <v>0</v>
      </c>
    </row>
    <row r="63" spans="1:14" ht="19.5" customHeight="1" thickBot="1" x14ac:dyDescent="0.3">
      <c r="B63" s="560">
        <f>'Budget Details'!C64</f>
        <v>0</v>
      </c>
      <c r="C63" s="560" t="str">
        <f>'Budget Details'!D64</f>
        <v>Summer</v>
      </c>
      <c r="D63" s="561">
        <f>SUM('Budget Details'!Q64,'Budget Details'!Q130)</f>
        <v>0</v>
      </c>
      <c r="E63" s="561">
        <f>SUM('Budget Details'!R64,'Budget Details'!R130)</f>
        <v>0</v>
      </c>
      <c r="F63" s="561">
        <f>SUM('Budget Details'!S64,'Budget Details'!S130)</f>
        <v>0</v>
      </c>
      <c r="G63" s="573">
        <f t="shared" si="8"/>
        <v>0</v>
      </c>
      <c r="I63" s="560">
        <f>'Budget Details'!AG64</f>
        <v>0</v>
      </c>
      <c r="J63" s="560" t="str">
        <f>'Budget Details'!AH64</f>
        <v>Summer</v>
      </c>
      <c r="K63" s="570">
        <f>SUM('Budget Details'!V64,'Budget Details'!V130)</f>
        <v>0</v>
      </c>
      <c r="L63" s="570">
        <f>SUM('Budget Details'!W64,'Budget Details'!W130)</f>
        <v>0</v>
      </c>
      <c r="M63" s="570">
        <f>SUM('Budget Details'!X64,'Budget Details'!X130)</f>
        <v>0</v>
      </c>
      <c r="N63" s="564">
        <f t="shared" si="9"/>
        <v>0</v>
      </c>
    </row>
    <row r="64" spans="1:14" ht="19.5" customHeight="1" x14ac:dyDescent="0.25">
      <c r="B64" s="565" t="str">
        <f>'Budget Details'!C65</f>
        <v>GRA #5</v>
      </c>
      <c r="C64" s="565" t="str">
        <f>'Budget Details'!D65</f>
        <v>Full year</v>
      </c>
      <c r="D64" s="566">
        <f>SUM('Budget Details'!Q65,'Budget Details'!Q133)</f>
        <v>0</v>
      </c>
      <c r="E64" s="566">
        <f>SUM('Budget Details'!R65,'Budget Details'!R133)</f>
        <v>0</v>
      </c>
      <c r="F64" s="566">
        <f>SUM('Budget Details'!S65,'Budget Details'!S133)</f>
        <v>0</v>
      </c>
      <c r="G64" s="574">
        <f t="shared" si="8"/>
        <v>0</v>
      </c>
      <c r="I64" s="565" t="str">
        <f>'Budget Details'!AG65</f>
        <v>GRA #5</v>
      </c>
      <c r="J64" s="565" t="str">
        <f>'Budget Details'!AH65</f>
        <v>Spring</v>
      </c>
      <c r="K64" s="568">
        <f>SUM('Budget Details'!V65,'Budget Details'!V133)</f>
        <v>0</v>
      </c>
      <c r="L64" s="568">
        <f>SUM('Budget Details'!W65,'Budget Details'!W133)</f>
        <v>0</v>
      </c>
      <c r="M64" s="568">
        <f>SUM('Budget Details'!X65,'Budget Details'!X133)</f>
        <v>0</v>
      </c>
      <c r="N64" s="569">
        <f t="shared" si="9"/>
        <v>0</v>
      </c>
    </row>
    <row r="65" spans="2:14" ht="19.5" customHeight="1" x14ac:dyDescent="0.25">
      <c r="B65" s="555">
        <f>'Budget Details'!C66</f>
        <v>0</v>
      </c>
      <c r="C65" s="555" t="str">
        <f>'Budget Details'!D66</f>
        <v>Summer</v>
      </c>
      <c r="D65" s="556">
        <f>SUM('Budget Details'!Q66,'Budget Details'!Q134)</f>
        <v>0</v>
      </c>
      <c r="E65" s="556">
        <f>SUM('Budget Details'!R66,'Budget Details'!R134)</f>
        <v>0</v>
      </c>
      <c r="F65" s="556">
        <f>SUM('Budget Details'!S66,'Budget Details'!S134)</f>
        <v>0</v>
      </c>
      <c r="G65" s="557">
        <f t="shared" si="8"/>
        <v>0</v>
      </c>
      <c r="I65" s="555">
        <f>'Budget Details'!AG66</f>
        <v>0</v>
      </c>
      <c r="J65" s="555" t="str">
        <f>'Budget Details'!AH66</f>
        <v>Summer</v>
      </c>
      <c r="K65" s="568">
        <f>SUM('Budget Details'!V66,'Budget Details'!V134)</f>
        <v>0</v>
      </c>
      <c r="L65" s="568">
        <f>SUM('Budget Details'!W66,'Budget Details'!W134)</f>
        <v>0</v>
      </c>
      <c r="M65" s="568">
        <f>SUM('Budget Details'!X66,'Budget Details'!X134)</f>
        <v>0</v>
      </c>
      <c r="N65" s="559">
        <f t="shared" si="9"/>
        <v>0</v>
      </c>
    </row>
    <row r="66" spans="2:14" ht="19.5" customHeight="1" x14ac:dyDescent="0.25">
      <c r="B66" s="929" t="s">
        <v>331</v>
      </c>
      <c r="C66" s="929"/>
      <c r="D66" s="575">
        <f>SUM(D56:D57,D58:D59,D60:D61,D62:D63,D64:D65)</f>
        <v>0</v>
      </c>
      <c r="E66" s="575">
        <f t="shared" ref="E66:F66" si="10">SUM(E56:E57,E58:E59,E60:E61,E62:E63,E64:E65)</f>
        <v>0</v>
      </c>
      <c r="F66" s="575">
        <f t="shared" si="10"/>
        <v>0</v>
      </c>
      <c r="G66" s="557">
        <f t="shared" si="8"/>
        <v>0</v>
      </c>
      <c r="I66" s="930" t="s">
        <v>331</v>
      </c>
      <c r="J66" s="930"/>
      <c r="K66" s="548">
        <f>SUM(K56:K57,K58:K59,K60:K61,K62:K63,K64:K65)</f>
        <v>0</v>
      </c>
      <c r="L66" s="548">
        <f t="shared" ref="L66:M66" si="11">SUM(L56:L57,L58:L59,L60:L61,L62:L63,L64:L65)</f>
        <v>0</v>
      </c>
      <c r="M66" s="548">
        <f t="shared" si="11"/>
        <v>0</v>
      </c>
      <c r="N66" s="559">
        <f t="shared" si="9"/>
        <v>0</v>
      </c>
    </row>
  </sheetData>
  <mergeCells count="65">
    <mergeCell ref="A1:E1"/>
    <mergeCell ref="A3:F3"/>
    <mergeCell ref="I3:M3"/>
    <mergeCell ref="B4:B5"/>
    <mergeCell ref="C4:C5"/>
    <mergeCell ref="D4:F4"/>
    <mergeCell ref="I4:I5"/>
    <mergeCell ref="J4:J5"/>
    <mergeCell ref="K4:M4"/>
    <mergeCell ref="B26:C26"/>
    <mergeCell ref="I26:J26"/>
    <mergeCell ref="A28:F28"/>
    <mergeCell ref="I28:M28"/>
    <mergeCell ref="B29:C30"/>
    <mergeCell ref="D29:F29"/>
    <mergeCell ref="I29:J30"/>
    <mergeCell ref="K29:M29"/>
    <mergeCell ref="B31:C31"/>
    <mergeCell ref="I31:J31"/>
    <mergeCell ref="B32:C32"/>
    <mergeCell ref="I32:J32"/>
    <mergeCell ref="B33:C33"/>
    <mergeCell ref="I33:J33"/>
    <mergeCell ref="B34:C34"/>
    <mergeCell ref="I34:J34"/>
    <mergeCell ref="B35:C35"/>
    <mergeCell ref="I35:J35"/>
    <mergeCell ref="B36:C36"/>
    <mergeCell ref="I36:J36"/>
    <mergeCell ref="B37:C37"/>
    <mergeCell ref="I37:J37"/>
    <mergeCell ref="B38:C38"/>
    <mergeCell ref="I38:J38"/>
    <mergeCell ref="B39:C39"/>
    <mergeCell ref="I39:J39"/>
    <mergeCell ref="B40:C40"/>
    <mergeCell ref="I40:J40"/>
    <mergeCell ref="B41:C41"/>
    <mergeCell ref="I41:J41"/>
    <mergeCell ref="B42:C42"/>
    <mergeCell ref="I42:J42"/>
    <mergeCell ref="B43:C43"/>
    <mergeCell ref="I43:J43"/>
    <mergeCell ref="B44:C44"/>
    <mergeCell ref="I44:J44"/>
    <mergeCell ref="B45:C45"/>
    <mergeCell ref="I45:J45"/>
    <mergeCell ref="B46:C46"/>
    <mergeCell ref="I46:J46"/>
    <mergeCell ref="B47:C47"/>
    <mergeCell ref="I47:J47"/>
    <mergeCell ref="B48:C48"/>
    <mergeCell ref="I48:J48"/>
    <mergeCell ref="B49:C49"/>
    <mergeCell ref="I49:J49"/>
    <mergeCell ref="B50:C50"/>
    <mergeCell ref="I50:J50"/>
    <mergeCell ref="B51:C51"/>
    <mergeCell ref="I51:J51"/>
    <mergeCell ref="B53:F53"/>
    <mergeCell ref="I53:M53"/>
    <mergeCell ref="D54:F54"/>
    <mergeCell ref="K54:M54"/>
    <mergeCell ref="B66:C66"/>
    <mergeCell ref="I66:J66"/>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43F10A-FF11-481A-9C20-6565FF50CA9F}">
  <sheetPr>
    <tabColor theme="7" tint="0.39997558519241921"/>
  </sheetPr>
  <dimension ref="B1:P25"/>
  <sheetViews>
    <sheetView workbookViewId="0">
      <selection activeCell="I18" sqref="I18"/>
    </sheetView>
  </sheetViews>
  <sheetFormatPr defaultRowHeight="15.75" x14ac:dyDescent="0.25"/>
  <cols>
    <col min="1" max="1" width="9.140625" style="512"/>
    <col min="2" max="2" width="46.5703125" style="512" customWidth="1"/>
    <col min="3" max="3" width="17.28515625" style="512" customWidth="1"/>
    <col min="4" max="16384" width="9.140625" style="512"/>
  </cols>
  <sheetData>
    <row r="1" spans="2:16" x14ac:dyDescent="0.25">
      <c r="B1" s="937" t="s">
        <v>340</v>
      </c>
      <c r="C1" s="937"/>
    </row>
    <row r="2" spans="2:16" ht="16.5" x14ac:dyDescent="0.3">
      <c r="B2" s="508" t="s">
        <v>341</v>
      </c>
      <c r="C2" s="508" t="s">
        <v>342</v>
      </c>
    </row>
    <row r="3" spans="2:16" ht="16.5" x14ac:dyDescent="0.3">
      <c r="B3" s="509" t="s">
        <v>254</v>
      </c>
      <c r="C3" s="510">
        <v>0.52500000000000002</v>
      </c>
      <c r="M3" s="591"/>
      <c r="N3" s="591"/>
      <c r="O3" s="591"/>
      <c r="P3" s="591"/>
    </row>
    <row r="4" spans="2:16" ht="13.5" customHeight="1" x14ac:dyDescent="0.3">
      <c r="B4" s="509" t="s">
        <v>343</v>
      </c>
      <c r="C4" s="510">
        <v>0.51200000000000001</v>
      </c>
      <c r="M4" s="592"/>
      <c r="N4" s="592"/>
      <c r="O4" s="592"/>
      <c r="P4" s="592"/>
    </row>
    <row r="5" spans="2:16" ht="16.5" x14ac:dyDescent="0.3">
      <c r="B5" s="509" t="s">
        <v>344</v>
      </c>
      <c r="C5" s="510">
        <v>0.29399999999999998</v>
      </c>
      <c r="K5" s="593"/>
      <c r="L5" s="593"/>
      <c r="M5" s="593"/>
      <c r="N5" s="593"/>
      <c r="O5" s="593"/>
      <c r="P5" s="593"/>
    </row>
    <row r="6" spans="2:16" ht="13.5" customHeight="1" x14ac:dyDescent="0.3">
      <c r="B6" s="509" t="s">
        <v>345</v>
      </c>
      <c r="C6" s="510">
        <v>0.26</v>
      </c>
      <c r="K6" s="594"/>
      <c r="L6" s="594"/>
      <c r="M6" s="594"/>
      <c r="N6" s="594"/>
      <c r="O6" s="594"/>
      <c r="P6" s="594"/>
    </row>
    <row r="7" spans="2:16" x14ac:dyDescent="0.25">
      <c r="B7" s="509" t="s">
        <v>346</v>
      </c>
      <c r="C7" s="510">
        <v>0.26</v>
      </c>
    </row>
    <row r="8" spans="2:16" x14ac:dyDescent="0.25">
      <c r="B8" s="509" t="s">
        <v>347</v>
      </c>
      <c r="C8" s="510">
        <v>0.23699999999999999</v>
      </c>
    </row>
    <row r="9" spans="2:16" x14ac:dyDescent="0.25">
      <c r="B9" s="509" t="s">
        <v>348</v>
      </c>
      <c r="C9" s="510">
        <v>0.17499999999999999</v>
      </c>
    </row>
    <row r="10" spans="2:16" x14ac:dyDescent="0.25">
      <c r="B10" s="509" t="s">
        <v>349</v>
      </c>
      <c r="C10" s="511">
        <v>0</v>
      </c>
    </row>
    <row r="11" spans="2:16" x14ac:dyDescent="0.25">
      <c r="B11" s="509" t="s">
        <v>350</v>
      </c>
      <c r="C11" s="511">
        <v>0</v>
      </c>
    </row>
    <row r="12" spans="2:16" x14ac:dyDescent="0.25">
      <c r="B12" s="509" t="s">
        <v>351</v>
      </c>
      <c r="C12" s="511">
        <v>0</v>
      </c>
    </row>
    <row r="14" spans="2:16" ht="16.5" thickBot="1" x14ac:dyDescent="0.3">
      <c r="B14" s="512" t="s">
        <v>352</v>
      </c>
    </row>
    <row r="15" spans="2:16" ht="17.25" thickBot="1" x14ac:dyDescent="0.35">
      <c r="B15" s="595" t="s">
        <v>353</v>
      </c>
      <c r="C15" s="596">
        <v>12936</v>
      </c>
      <c r="D15" s="512" t="s">
        <v>354</v>
      </c>
    </row>
    <row r="16" spans="2:16" ht="17.25" thickBot="1" x14ac:dyDescent="0.35">
      <c r="B16" s="597" t="s">
        <v>355</v>
      </c>
      <c r="C16" s="598">
        <f>C15/2</f>
        <v>6468</v>
      </c>
      <c r="D16" s="592"/>
    </row>
    <row r="19" spans="2:4" ht="16.5" thickBot="1" x14ac:dyDescent="0.3">
      <c r="B19" s="512" t="s">
        <v>356</v>
      </c>
    </row>
    <row r="20" spans="2:4" ht="16.5" thickBot="1" x14ac:dyDescent="0.3">
      <c r="B20" s="599" t="s">
        <v>357</v>
      </c>
      <c r="C20" s="599" t="s">
        <v>197</v>
      </c>
    </row>
    <row r="21" spans="2:4" ht="17.25" thickBot="1" x14ac:dyDescent="0.35">
      <c r="B21" s="600" t="s">
        <v>164</v>
      </c>
      <c r="C21" s="601">
        <f>2765*1.05</f>
        <v>2903.25</v>
      </c>
      <c r="D21" s="512" t="s">
        <v>358</v>
      </c>
    </row>
    <row r="22" spans="2:4" ht="17.25" thickBot="1" x14ac:dyDescent="0.35">
      <c r="B22" s="600" t="s">
        <v>166</v>
      </c>
      <c r="C22" s="601">
        <f>1045*1.05</f>
        <v>1097.25</v>
      </c>
      <c r="D22" s="512" t="s">
        <v>359</v>
      </c>
    </row>
    <row r="23" spans="2:4" ht="17.25" thickBot="1" x14ac:dyDescent="0.35">
      <c r="B23" s="600" t="s">
        <v>170</v>
      </c>
      <c r="C23" s="601">
        <f>1720*1.05</f>
        <v>1806</v>
      </c>
      <c r="D23" s="512" t="s">
        <v>360</v>
      </c>
    </row>
    <row r="24" spans="2:4" ht="17.25" thickBot="1" x14ac:dyDescent="0.35">
      <c r="B24" s="600" t="s">
        <v>225</v>
      </c>
      <c r="C24" s="601"/>
    </row>
    <row r="25" spans="2:4" ht="17.25" thickBot="1" x14ac:dyDescent="0.35">
      <c r="B25" s="600" t="s">
        <v>361</v>
      </c>
      <c r="C25" s="601">
        <v>705</v>
      </c>
      <c r="D25" s="512" t="s">
        <v>362</v>
      </c>
    </row>
  </sheetData>
  <mergeCells count="1">
    <mergeCell ref="B1:C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336643-77BE-4EBD-8A7F-95EE02508335}">
  <sheetPr>
    <tabColor theme="6" tint="0.39997558519241921"/>
  </sheetPr>
  <dimension ref="B2:T103"/>
  <sheetViews>
    <sheetView workbookViewId="0">
      <selection activeCell="D17" sqref="D17"/>
    </sheetView>
  </sheetViews>
  <sheetFormatPr defaultRowHeight="12.75" x14ac:dyDescent="0.2"/>
  <cols>
    <col min="1" max="1" width="3.7109375" customWidth="1"/>
    <col min="2" max="2" width="14.42578125" bestFit="1" customWidth="1"/>
    <col min="3" max="3" width="14.7109375" bestFit="1" customWidth="1"/>
    <col min="4" max="4" width="15" bestFit="1" customWidth="1"/>
    <col min="5" max="5" width="10.42578125" bestFit="1" customWidth="1"/>
    <col min="8" max="8" width="8.7109375" customWidth="1"/>
    <col min="9" max="9" width="10" customWidth="1"/>
    <col min="10" max="10" width="10.7109375" customWidth="1"/>
    <col min="11" max="11" width="8.85546875" customWidth="1"/>
    <col min="12" max="12" width="9.42578125" customWidth="1"/>
    <col min="13" max="13" width="11.7109375" customWidth="1"/>
    <col min="14" max="14" width="10.7109375" customWidth="1"/>
    <col min="15" max="15" width="10.28515625" customWidth="1"/>
    <col min="16" max="16" width="11.28515625" customWidth="1"/>
    <col min="17" max="17" width="10.28515625" customWidth="1"/>
    <col min="18" max="18" width="10.85546875" customWidth="1"/>
    <col min="19" max="19" width="9.85546875" customWidth="1"/>
    <col min="20" max="20" width="10" customWidth="1"/>
  </cols>
  <sheetData>
    <row r="2" spans="2:20" ht="17.25" x14ac:dyDescent="0.3">
      <c r="H2" s="938" t="s">
        <v>363</v>
      </c>
      <c r="I2" s="938"/>
      <c r="J2" s="938"/>
      <c r="K2" s="938"/>
      <c r="L2" s="938"/>
      <c r="M2" s="938"/>
      <c r="N2" s="938"/>
      <c r="O2" s="938"/>
      <c r="P2" s="938"/>
      <c r="Q2" s="938"/>
      <c r="R2" s="938"/>
      <c r="S2" s="938"/>
      <c r="T2" s="938"/>
    </row>
    <row r="3" spans="2:20" ht="25.5" x14ac:dyDescent="0.2">
      <c r="B3" s="7"/>
      <c r="C3" s="8" t="s">
        <v>93</v>
      </c>
      <c r="D3" s="8" t="s">
        <v>94</v>
      </c>
      <c r="E3" s="8" t="s">
        <v>95</v>
      </c>
      <c r="F3" s="8" t="s">
        <v>96</v>
      </c>
      <c r="H3" s="13" t="s">
        <v>364</v>
      </c>
      <c r="I3" s="3" t="s">
        <v>365</v>
      </c>
      <c r="J3" s="13" t="s">
        <v>90</v>
      </c>
      <c r="K3" s="14" t="s">
        <v>366</v>
      </c>
      <c r="L3" s="3" t="s">
        <v>367</v>
      </c>
      <c r="M3" s="3" t="s">
        <v>368</v>
      </c>
      <c r="N3" s="3" t="s">
        <v>369</v>
      </c>
      <c r="O3" s="3" t="s">
        <v>370</v>
      </c>
      <c r="P3" s="3" t="s">
        <v>371</v>
      </c>
      <c r="Q3" s="3" t="s">
        <v>372</v>
      </c>
      <c r="R3" s="3" t="s">
        <v>373</v>
      </c>
      <c r="S3" s="3" t="s">
        <v>374</v>
      </c>
      <c r="T3" s="3" t="s">
        <v>375</v>
      </c>
    </row>
    <row r="4" spans="2:20" x14ac:dyDescent="0.2">
      <c r="B4" s="8" t="s">
        <v>376</v>
      </c>
      <c r="C4" s="7">
        <v>12</v>
      </c>
      <c r="D4" s="7">
        <v>52</v>
      </c>
      <c r="E4" s="7">
        <v>260</v>
      </c>
      <c r="F4" s="7">
        <v>2080</v>
      </c>
      <c r="H4" s="2">
        <v>0.01</v>
      </c>
      <c r="I4" s="11">
        <f>Table1[[#This Row],[Percent Effort]]*$C$4</f>
        <v>0.12</v>
      </c>
      <c r="J4" s="11">
        <f>Table1[[#This Row],[Percent Effort]]*$C$5</f>
        <v>8.77E-2</v>
      </c>
      <c r="K4" s="11">
        <f>Table1[[#This Row],[Percent Effort]]*$C$6</f>
        <v>3.2300000000000002E-2</v>
      </c>
      <c r="L4" s="6">
        <f>Table1[[#This Row],[Percent Effort]]*$D$4</f>
        <v>0.52</v>
      </c>
      <c r="M4" s="6">
        <f>Table1[[#This Row],[Percent Effort]]*$D$5</f>
        <v>0.38</v>
      </c>
      <c r="N4" s="6">
        <f>Table1[[#This Row],[Percent Effort]]*$D$6</f>
        <v>0.14000000000000001</v>
      </c>
      <c r="O4" s="6">
        <f>Table1[[#This Row],[Percent Effort]]*$E$4</f>
        <v>2.6</v>
      </c>
      <c r="P4" s="6">
        <f>Table1[[#This Row],[Percent Effort]]*$E$5</f>
        <v>1.9000000000000001</v>
      </c>
      <c r="Q4" s="6">
        <f>Table1[[#This Row],[Percent Effort]]*$E$6</f>
        <v>0.70000000000000007</v>
      </c>
      <c r="R4" s="6">
        <f>Table1[[#This Row],[Percent Effort]]*$F$4</f>
        <v>20.8</v>
      </c>
      <c r="S4" s="6">
        <f>Table1[[#This Row],[Percent Effort]]*$F$5</f>
        <v>15.200000000000001</v>
      </c>
      <c r="T4" s="6">
        <f>Table1[[#This Row],[Percent Effort]]*$F$6</f>
        <v>5.6000000000000005</v>
      </c>
    </row>
    <row r="5" spans="2:20" x14ac:dyDescent="0.2">
      <c r="B5" s="8" t="s">
        <v>377</v>
      </c>
      <c r="C5" s="7">
        <v>8.77</v>
      </c>
      <c r="D5" s="7">
        <v>38</v>
      </c>
      <c r="E5" s="7">
        <v>190</v>
      </c>
      <c r="F5" s="7">
        <v>1520</v>
      </c>
      <c r="H5" s="2">
        <v>0.02</v>
      </c>
      <c r="I5" s="11">
        <f>Table1[[#This Row],[Percent Effort]]*$C$4</f>
        <v>0.24</v>
      </c>
      <c r="J5" s="11">
        <f>Table1[[#This Row],[Percent Effort]]*$C$5</f>
        <v>0.1754</v>
      </c>
      <c r="K5" s="11">
        <f>Table1[[#This Row],[Percent Effort]]*$C$6</f>
        <v>6.4600000000000005E-2</v>
      </c>
      <c r="L5" s="6">
        <f>Table1[[#This Row],[Percent Effort]]*$D$4</f>
        <v>1.04</v>
      </c>
      <c r="M5" s="6">
        <f>Table1[[#This Row],[Percent Effort]]*$D$5</f>
        <v>0.76</v>
      </c>
      <c r="N5" s="6">
        <f>Table1[[#This Row],[Percent Effort]]*$D$6</f>
        <v>0.28000000000000003</v>
      </c>
      <c r="O5" s="6">
        <f>Table1[[#This Row],[Percent Effort]]*$E$4</f>
        <v>5.2</v>
      </c>
      <c r="P5" s="6">
        <f>Table1[[#This Row],[Percent Effort]]*$E$5</f>
        <v>3.8000000000000003</v>
      </c>
      <c r="Q5" s="6">
        <f>Table1[[#This Row],[Percent Effort]]*$E$6</f>
        <v>1.4000000000000001</v>
      </c>
      <c r="R5" s="6">
        <f>Table1[[#This Row],[Percent Effort]]*$F$4</f>
        <v>41.6</v>
      </c>
      <c r="S5" s="6">
        <f>Table1[[#This Row],[Percent Effort]]*$F$5</f>
        <v>30.400000000000002</v>
      </c>
      <c r="T5" s="6">
        <f>Table1[[#This Row],[Percent Effort]]*$F$6</f>
        <v>11.200000000000001</v>
      </c>
    </row>
    <row r="6" spans="2:20" x14ac:dyDescent="0.2">
      <c r="B6" s="8" t="s">
        <v>167</v>
      </c>
      <c r="C6" s="7">
        <v>3.23</v>
      </c>
      <c r="D6" s="7">
        <v>14</v>
      </c>
      <c r="E6" s="7">
        <v>70</v>
      </c>
      <c r="F6" s="7">
        <v>560</v>
      </c>
      <c r="H6" s="2">
        <v>0.03</v>
      </c>
      <c r="I6" s="11">
        <f>Table1[[#This Row],[Percent Effort]]*$C$4</f>
        <v>0.36</v>
      </c>
      <c r="J6" s="11">
        <f>Table1[[#This Row],[Percent Effort]]*$C$5</f>
        <v>0.2631</v>
      </c>
      <c r="K6" s="11">
        <f>Table1[[#This Row],[Percent Effort]]*$C$6</f>
        <v>9.69E-2</v>
      </c>
      <c r="L6" s="6">
        <f>Table1[[#This Row],[Percent Effort]]*$D$4</f>
        <v>1.56</v>
      </c>
      <c r="M6" s="6">
        <f>Table1[[#This Row],[Percent Effort]]*$D$5</f>
        <v>1.1399999999999999</v>
      </c>
      <c r="N6" s="6">
        <f>Table1[[#This Row],[Percent Effort]]*$D$6</f>
        <v>0.42</v>
      </c>
      <c r="O6" s="6">
        <f>Table1[[#This Row],[Percent Effort]]*$E$4</f>
        <v>7.8</v>
      </c>
      <c r="P6" s="6">
        <f>Table1[[#This Row],[Percent Effort]]*$E$5</f>
        <v>5.7</v>
      </c>
      <c r="Q6" s="6">
        <f>Table1[[#This Row],[Percent Effort]]*$E$6</f>
        <v>2.1</v>
      </c>
      <c r="R6" s="6">
        <f>Table1[[#This Row],[Percent Effort]]*$F$4</f>
        <v>62.4</v>
      </c>
      <c r="S6" s="6">
        <f>Table1[[#This Row],[Percent Effort]]*$F$5</f>
        <v>45.6</v>
      </c>
      <c r="T6" s="6">
        <f>Table1[[#This Row],[Percent Effort]]*$F$6</f>
        <v>16.8</v>
      </c>
    </row>
    <row r="7" spans="2:20" x14ac:dyDescent="0.2">
      <c r="H7" s="2">
        <v>0.04</v>
      </c>
      <c r="I7" s="11">
        <f>Table1[[#This Row],[Percent Effort]]*$C$4</f>
        <v>0.48</v>
      </c>
      <c r="J7" s="11">
        <f>Table1[[#This Row],[Percent Effort]]*$C$5</f>
        <v>0.3508</v>
      </c>
      <c r="K7" s="11">
        <f>Table1[[#This Row],[Percent Effort]]*$C$6</f>
        <v>0.12920000000000001</v>
      </c>
      <c r="L7" s="6">
        <f>Table1[[#This Row],[Percent Effort]]*$D$4</f>
        <v>2.08</v>
      </c>
      <c r="M7" s="6">
        <f>Table1[[#This Row],[Percent Effort]]*$D$5</f>
        <v>1.52</v>
      </c>
      <c r="N7" s="6">
        <f>Table1[[#This Row],[Percent Effort]]*$D$6</f>
        <v>0.56000000000000005</v>
      </c>
      <c r="O7" s="6">
        <f>Table1[[#This Row],[Percent Effort]]*$E$4</f>
        <v>10.4</v>
      </c>
      <c r="P7" s="6">
        <f>Table1[[#This Row],[Percent Effort]]*$E$5</f>
        <v>7.6000000000000005</v>
      </c>
      <c r="Q7" s="6">
        <f>Table1[[#This Row],[Percent Effort]]*$E$6</f>
        <v>2.8000000000000003</v>
      </c>
      <c r="R7" s="6">
        <f>Table1[[#This Row],[Percent Effort]]*$F$4</f>
        <v>83.2</v>
      </c>
      <c r="S7" s="6">
        <f>Table1[[#This Row],[Percent Effort]]*$F$5</f>
        <v>60.800000000000004</v>
      </c>
      <c r="T7" s="6">
        <f>Table1[[#This Row],[Percent Effort]]*$F$6</f>
        <v>22.400000000000002</v>
      </c>
    </row>
    <row r="8" spans="2:20" x14ac:dyDescent="0.2">
      <c r="B8" s="5"/>
      <c r="C8" s="5"/>
      <c r="D8" s="5"/>
      <c r="E8" s="5"/>
      <c r="F8" s="5"/>
      <c r="G8" s="5"/>
      <c r="H8" s="2">
        <v>0.05</v>
      </c>
      <c r="I8" s="11">
        <f>Table1[[#This Row],[Percent Effort]]*$C$4</f>
        <v>0.60000000000000009</v>
      </c>
      <c r="J8" s="11">
        <f>Table1[[#This Row],[Percent Effort]]*$C$5</f>
        <v>0.4385</v>
      </c>
      <c r="K8" s="12">
        <f>Table1[[#This Row],[Percent Effort]]*$C$6</f>
        <v>0.1615</v>
      </c>
      <c r="L8" s="6">
        <f>Table1[[#This Row],[Percent Effort]]*$D$4</f>
        <v>2.6</v>
      </c>
      <c r="M8" s="6">
        <f>Table1[[#This Row],[Percent Effort]]*$D$5</f>
        <v>1.9000000000000001</v>
      </c>
      <c r="N8" s="6">
        <f>Table1[[#This Row],[Percent Effort]]*$D$6</f>
        <v>0.70000000000000007</v>
      </c>
      <c r="O8" s="6">
        <f>Table1[[#This Row],[Percent Effort]]*$E$4</f>
        <v>13</v>
      </c>
      <c r="P8" s="6">
        <f>Table1[[#This Row],[Percent Effort]]*$E$5</f>
        <v>9.5</v>
      </c>
      <c r="Q8" s="6">
        <f>Table1[[#This Row],[Percent Effort]]*$E$6</f>
        <v>3.5</v>
      </c>
      <c r="R8" s="6">
        <f>Table1[[#This Row],[Percent Effort]]*$F$4</f>
        <v>104</v>
      </c>
      <c r="S8" s="6">
        <f>Table1[[#This Row],[Percent Effort]]*$F$5</f>
        <v>76</v>
      </c>
      <c r="T8" s="6">
        <f>Table1[[#This Row],[Percent Effort]]*$F$6</f>
        <v>28</v>
      </c>
    </row>
    <row r="9" spans="2:20" x14ac:dyDescent="0.2">
      <c r="F9" s="6"/>
      <c r="G9" s="10"/>
      <c r="H9" s="2">
        <v>0.06</v>
      </c>
      <c r="I9" s="11">
        <f>Table1[[#This Row],[Percent Effort]]*$C$4</f>
        <v>0.72</v>
      </c>
      <c r="J9" s="11">
        <f>Table1[[#This Row],[Percent Effort]]*$C$5</f>
        <v>0.5262</v>
      </c>
      <c r="K9" s="11">
        <f>Table1[[#This Row],[Percent Effort]]*$C$6</f>
        <v>0.1938</v>
      </c>
      <c r="L9" s="6">
        <f>Table1[[#This Row],[Percent Effort]]*$D$4</f>
        <v>3.12</v>
      </c>
      <c r="M9" s="6">
        <f>Table1[[#This Row],[Percent Effort]]*$D$5</f>
        <v>2.2799999999999998</v>
      </c>
      <c r="N9" s="6">
        <f>Table1[[#This Row],[Percent Effort]]*$D$6</f>
        <v>0.84</v>
      </c>
      <c r="O9" s="6">
        <f>Table1[[#This Row],[Percent Effort]]*$E$4</f>
        <v>15.6</v>
      </c>
      <c r="P9" s="6">
        <f>Table1[[#This Row],[Percent Effort]]*$E$5</f>
        <v>11.4</v>
      </c>
      <c r="Q9" s="6">
        <f>Table1[[#This Row],[Percent Effort]]*$E$6</f>
        <v>4.2</v>
      </c>
      <c r="R9" s="6">
        <f>Table1[[#This Row],[Percent Effort]]*$F$4</f>
        <v>124.8</v>
      </c>
      <c r="S9" s="6">
        <f>Table1[[#This Row],[Percent Effort]]*$F$5</f>
        <v>91.2</v>
      </c>
      <c r="T9" s="6">
        <f>Table1[[#This Row],[Percent Effort]]*$F$6</f>
        <v>33.6</v>
      </c>
    </row>
    <row r="10" spans="2:20" x14ac:dyDescent="0.2">
      <c r="B10" s="9"/>
      <c r="C10" s="9"/>
      <c r="D10" s="9"/>
      <c r="E10" s="6"/>
      <c r="F10" s="6"/>
      <c r="G10" s="10"/>
      <c r="H10" s="2">
        <v>7.0000000000000007E-2</v>
      </c>
      <c r="I10" s="11">
        <f>Table1[[#This Row],[Percent Effort]]*$C$4</f>
        <v>0.84000000000000008</v>
      </c>
      <c r="J10" s="11">
        <f>Table1[[#This Row],[Percent Effort]]*$C$5</f>
        <v>0.6139</v>
      </c>
      <c r="K10" s="11">
        <f>Table1[[#This Row],[Percent Effort]]*$C$6</f>
        <v>0.22610000000000002</v>
      </c>
      <c r="L10" s="6">
        <f>Table1[[#This Row],[Percent Effort]]*$D$4</f>
        <v>3.6400000000000006</v>
      </c>
      <c r="M10" s="6">
        <f>Table1[[#This Row],[Percent Effort]]*$D$5</f>
        <v>2.66</v>
      </c>
      <c r="N10" s="6">
        <f>Table1[[#This Row],[Percent Effort]]*$D$6</f>
        <v>0.98000000000000009</v>
      </c>
      <c r="O10" s="6">
        <f>Table1[[#This Row],[Percent Effort]]*$E$4</f>
        <v>18.200000000000003</v>
      </c>
      <c r="P10" s="6">
        <f>Table1[[#This Row],[Percent Effort]]*$E$5</f>
        <v>13.3</v>
      </c>
      <c r="Q10" s="6">
        <f>Table1[[#This Row],[Percent Effort]]*$E$6</f>
        <v>4.9000000000000004</v>
      </c>
      <c r="R10" s="6">
        <f>Table1[[#This Row],[Percent Effort]]*$F$4</f>
        <v>145.60000000000002</v>
      </c>
      <c r="S10" s="6">
        <f>Table1[[#This Row],[Percent Effort]]*$F$5</f>
        <v>106.4</v>
      </c>
      <c r="T10" s="6">
        <f>Table1[[#This Row],[Percent Effort]]*$F$6</f>
        <v>39.200000000000003</v>
      </c>
    </row>
    <row r="11" spans="2:20" x14ac:dyDescent="0.2">
      <c r="B11" s="939"/>
      <c r="C11" s="939"/>
      <c r="D11" s="939"/>
      <c r="E11" s="939"/>
      <c r="F11" s="6"/>
      <c r="G11" s="10"/>
      <c r="H11" s="2">
        <v>0.08</v>
      </c>
      <c r="I11" s="11">
        <f>Table1[[#This Row],[Percent Effort]]*$C$4</f>
        <v>0.96</v>
      </c>
      <c r="J11" s="11">
        <f>Table1[[#This Row],[Percent Effort]]*$C$5</f>
        <v>0.7016</v>
      </c>
      <c r="K11" s="11">
        <f>Table1[[#This Row],[Percent Effort]]*$C$6</f>
        <v>0.25840000000000002</v>
      </c>
      <c r="L11" s="6">
        <f>Table1[[#This Row],[Percent Effort]]*$D$4</f>
        <v>4.16</v>
      </c>
      <c r="M11" s="6">
        <f>Table1[[#This Row],[Percent Effort]]*$D$5</f>
        <v>3.04</v>
      </c>
      <c r="N11" s="6">
        <f>Table1[[#This Row],[Percent Effort]]*$D$6</f>
        <v>1.1200000000000001</v>
      </c>
      <c r="O11" s="6">
        <f>Table1[[#This Row],[Percent Effort]]*$E$4</f>
        <v>20.8</v>
      </c>
      <c r="P11" s="6">
        <f>Table1[[#This Row],[Percent Effort]]*$E$5</f>
        <v>15.200000000000001</v>
      </c>
      <c r="Q11" s="6">
        <f>Table1[[#This Row],[Percent Effort]]*$E$6</f>
        <v>5.6000000000000005</v>
      </c>
      <c r="R11" s="6">
        <f>Table1[[#This Row],[Percent Effort]]*$F$4</f>
        <v>166.4</v>
      </c>
      <c r="S11" s="6">
        <f>Table1[[#This Row],[Percent Effort]]*$F$5</f>
        <v>121.60000000000001</v>
      </c>
      <c r="T11" s="6">
        <f>Table1[[#This Row],[Percent Effort]]*$F$6</f>
        <v>44.800000000000004</v>
      </c>
    </row>
    <row r="12" spans="2:20" x14ac:dyDescent="0.2">
      <c r="B12" s="28"/>
      <c r="C12" s="28"/>
      <c r="D12" s="28"/>
      <c r="E12" s="28"/>
      <c r="F12" s="6"/>
      <c r="G12" s="10"/>
      <c r="H12" s="2">
        <v>0.09</v>
      </c>
      <c r="I12" s="11">
        <f>Table1[[#This Row],[Percent Effort]]*$C$4</f>
        <v>1.08</v>
      </c>
      <c r="J12" s="11">
        <f>Table1[[#This Row],[Percent Effort]]*$C$5</f>
        <v>0.78929999999999989</v>
      </c>
      <c r="K12" s="11">
        <f>Table1[[#This Row],[Percent Effort]]*$C$6</f>
        <v>0.29070000000000001</v>
      </c>
      <c r="L12" s="6">
        <f>Table1[[#This Row],[Percent Effort]]*$D$4</f>
        <v>4.68</v>
      </c>
      <c r="M12" s="6">
        <f>Table1[[#This Row],[Percent Effort]]*$D$5</f>
        <v>3.42</v>
      </c>
      <c r="N12" s="6">
        <f>Table1[[#This Row],[Percent Effort]]*$D$6</f>
        <v>1.26</v>
      </c>
      <c r="O12" s="6">
        <f>Table1[[#This Row],[Percent Effort]]*$E$4</f>
        <v>23.4</v>
      </c>
      <c r="P12" s="6">
        <f>Table1[[#This Row],[Percent Effort]]*$E$5</f>
        <v>17.099999999999998</v>
      </c>
      <c r="Q12" s="6">
        <f>Table1[[#This Row],[Percent Effort]]*$E$6</f>
        <v>6.3</v>
      </c>
      <c r="R12" s="6">
        <f>Table1[[#This Row],[Percent Effort]]*$F$4</f>
        <v>187.2</v>
      </c>
      <c r="S12" s="6">
        <f>Table1[[#This Row],[Percent Effort]]*$F$5</f>
        <v>136.79999999999998</v>
      </c>
      <c r="T12" s="6">
        <f>Table1[[#This Row],[Percent Effort]]*$F$6</f>
        <v>50.4</v>
      </c>
    </row>
    <row r="13" spans="2:20" x14ac:dyDescent="0.2">
      <c r="B13" s="1"/>
      <c r="C13" s="1"/>
      <c r="D13" s="1"/>
      <c r="E13" s="1"/>
      <c r="F13" s="6"/>
      <c r="G13" s="10"/>
      <c r="H13" s="2">
        <v>0.1</v>
      </c>
      <c r="I13" s="11">
        <f>Table1[[#This Row],[Percent Effort]]*$C$4</f>
        <v>1.2000000000000002</v>
      </c>
      <c r="J13" s="11">
        <f>Table1[[#This Row],[Percent Effort]]*$C$5</f>
        <v>0.877</v>
      </c>
      <c r="K13" s="11">
        <f>Table1[[#This Row],[Percent Effort]]*$C$6</f>
        <v>0.32300000000000001</v>
      </c>
      <c r="L13" s="6">
        <f>Table1[[#This Row],[Percent Effort]]*$D$4</f>
        <v>5.2</v>
      </c>
      <c r="M13" s="6">
        <f>Table1[[#This Row],[Percent Effort]]*$D$5</f>
        <v>3.8000000000000003</v>
      </c>
      <c r="N13" s="6">
        <f>Table1[[#This Row],[Percent Effort]]*$D$6</f>
        <v>1.4000000000000001</v>
      </c>
      <c r="O13" s="6">
        <f>Table1[[#This Row],[Percent Effort]]*$E$4</f>
        <v>26</v>
      </c>
      <c r="P13" s="6">
        <f>Table1[[#This Row],[Percent Effort]]*$E$5</f>
        <v>19</v>
      </c>
      <c r="Q13" s="6">
        <f>Table1[[#This Row],[Percent Effort]]*$E$6</f>
        <v>7</v>
      </c>
      <c r="R13" s="6">
        <f>Table1[[#This Row],[Percent Effort]]*$F$4</f>
        <v>208</v>
      </c>
      <c r="S13" s="6">
        <f>Table1[[#This Row],[Percent Effort]]*$F$5</f>
        <v>152</v>
      </c>
      <c r="T13" s="6">
        <f>Table1[[#This Row],[Percent Effort]]*$F$6</f>
        <v>56</v>
      </c>
    </row>
    <row r="14" spans="2:20" x14ac:dyDescent="0.2">
      <c r="B14" s="26"/>
      <c r="D14" s="27"/>
      <c r="E14" s="27"/>
      <c r="H14" s="2">
        <v>0.11</v>
      </c>
      <c r="I14" s="11">
        <f>Table1[[#This Row],[Percent Effort]]*$C$4</f>
        <v>1.32</v>
      </c>
      <c r="J14" s="11">
        <f>Table1[[#This Row],[Percent Effort]]*$C$5</f>
        <v>0.9647</v>
      </c>
      <c r="K14" s="11">
        <f>Table1[[#This Row],[Percent Effort]]*$C$6</f>
        <v>0.3553</v>
      </c>
      <c r="L14" s="6">
        <f>Table1[[#This Row],[Percent Effort]]*$D$4</f>
        <v>5.72</v>
      </c>
      <c r="M14" s="6">
        <f>Table1[[#This Row],[Percent Effort]]*$D$5</f>
        <v>4.18</v>
      </c>
      <c r="N14" s="6">
        <f>Table1[[#This Row],[Percent Effort]]*$D$6</f>
        <v>1.54</v>
      </c>
      <c r="O14" s="6">
        <f>Table1[[#This Row],[Percent Effort]]*$E$4</f>
        <v>28.6</v>
      </c>
      <c r="P14" s="6">
        <f>Table1[[#This Row],[Percent Effort]]*$E$5</f>
        <v>20.9</v>
      </c>
      <c r="Q14" s="6">
        <f>Table1[[#This Row],[Percent Effort]]*$E$6</f>
        <v>7.7</v>
      </c>
      <c r="R14" s="6">
        <f>Table1[[#This Row],[Percent Effort]]*$F$4</f>
        <v>228.8</v>
      </c>
      <c r="S14" s="6">
        <f>Table1[[#This Row],[Percent Effort]]*$F$5</f>
        <v>167.2</v>
      </c>
      <c r="T14" s="6">
        <f>Table1[[#This Row],[Percent Effort]]*$F$6</f>
        <v>61.6</v>
      </c>
    </row>
    <row r="15" spans="2:20" x14ac:dyDescent="0.2">
      <c r="B15" s="26"/>
      <c r="D15" s="27"/>
      <c r="E15" s="27"/>
      <c r="H15" s="2">
        <v>0.12</v>
      </c>
      <c r="I15" s="11">
        <f>Table1[[#This Row],[Percent Effort]]*$C$4</f>
        <v>1.44</v>
      </c>
      <c r="J15" s="11">
        <f>Table1[[#This Row],[Percent Effort]]*$C$5</f>
        <v>1.0524</v>
      </c>
      <c r="K15" s="11">
        <f>Table1[[#This Row],[Percent Effort]]*$C$6</f>
        <v>0.3876</v>
      </c>
      <c r="L15" s="6">
        <f>Table1[[#This Row],[Percent Effort]]*$D$4</f>
        <v>6.24</v>
      </c>
      <c r="M15" s="6">
        <f>Table1[[#This Row],[Percent Effort]]*$D$5</f>
        <v>4.5599999999999996</v>
      </c>
      <c r="N15" s="6">
        <f>Table1[[#This Row],[Percent Effort]]*$D$6</f>
        <v>1.68</v>
      </c>
      <c r="O15" s="6">
        <f>Table1[[#This Row],[Percent Effort]]*$E$4</f>
        <v>31.2</v>
      </c>
      <c r="P15" s="6">
        <f>Table1[[#This Row],[Percent Effort]]*$E$5</f>
        <v>22.8</v>
      </c>
      <c r="Q15" s="6">
        <f>Table1[[#This Row],[Percent Effort]]*$E$6</f>
        <v>8.4</v>
      </c>
      <c r="R15" s="6">
        <f>Table1[[#This Row],[Percent Effort]]*$F$4</f>
        <v>249.6</v>
      </c>
      <c r="S15" s="6">
        <f>Table1[[#This Row],[Percent Effort]]*$F$5</f>
        <v>182.4</v>
      </c>
      <c r="T15" s="6">
        <f>Table1[[#This Row],[Percent Effort]]*$F$6</f>
        <v>67.2</v>
      </c>
    </row>
    <row r="16" spans="2:20" x14ac:dyDescent="0.2">
      <c r="B16" s="26"/>
      <c r="D16" s="27"/>
      <c r="E16" s="27"/>
      <c r="F16" s="5"/>
      <c r="G16" s="5"/>
      <c r="H16" s="2">
        <v>0.13</v>
      </c>
      <c r="I16" s="11">
        <f>Table1[[#This Row],[Percent Effort]]*$C$4</f>
        <v>1.56</v>
      </c>
      <c r="J16" s="11">
        <f>Table1[[#This Row],[Percent Effort]]*$C$5</f>
        <v>1.1400999999999999</v>
      </c>
      <c r="K16" s="12">
        <f>Table1[[#This Row],[Percent Effort]]*$C$6</f>
        <v>0.4199</v>
      </c>
      <c r="L16" s="6">
        <f>Table1[[#This Row],[Percent Effort]]*$D$4</f>
        <v>6.76</v>
      </c>
      <c r="M16" s="6">
        <f>Table1[[#This Row],[Percent Effort]]*$D$5</f>
        <v>4.9400000000000004</v>
      </c>
      <c r="N16" s="6">
        <f>Table1[[#This Row],[Percent Effort]]*$D$6</f>
        <v>1.82</v>
      </c>
      <c r="O16" s="6">
        <f>Table1[[#This Row],[Percent Effort]]*$E$4</f>
        <v>33.800000000000004</v>
      </c>
      <c r="P16" s="6">
        <f>Table1[[#This Row],[Percent Effort]]*$E$5</f>
        <v>24.7</v>
      </c>
      <c r="Q16" s="6">
        <f>Table1[[#This Row],[Percent Effort]]*$E$6</f>
        <v>9.1</v>
      </c>
      <c r="R16" s="6">
        <f>Table1[[#This Row],[Percent Effort]]*$F$4</f>
        <v>270.40000000000003</v>
      </c>
      <c r="S16" s="6">
        <f>Table1[[#This Row],[Percent Effort]]*$F$5</f>
        <v>197.6</v>
      </c>
      <c r="T16" s="6">
        <f>Table1[[#This Row],[Percent Effort]]*$F$6</f>
        <v>72.8</v>
      </c>
    </row>
    <row r="17" spans="2:20" x14ac:dyDescent="0.2">
      <c r="B17" s="26"/>
      <c r="D17" s="15"/>
      <c r="E17" s="15"/>
      <c r="F17" s="6"/>
      <c r="G17" s="10"/>
      <c r="H17" s="2">
        <v>0.14000000000000001</v>
      </c>
      <c r="I17" s="11">
        <f>Table1[[#This Row],[Percent Effort]]*$C$4</f>
        <v>1.6800000000000002</v>
      </c>
      <c r="J17" s="11">
        <f>Table1[[#This Row],[Percent Effort]]*$C$5</f>
        <v>1.2278</v>
      </c>
      <c r="K17" s="11">
        <f>Table1[[#This Row],[Percent Effort]]*$C$6</f>
        <v>0.45220000000000005</v>
      </c>
      <c r="L17" s="6">
        <f>Table1[[#This Row],[Percent Effort]]*$D$4</f>
        <v>7.2800000000000011</v>
      </c>
      <c r="M17" s="6">
        <f>Table1[[#This Row],[Percent Effort]]*$D$5</f>
        <v>5.32</v>
      </c>
      <c r="N17" s="6">
        <f>Table1[[#This Row],[Percent Effort]]*$D$6</f>
        <v>1.9600000000000002</v>
      </c>
      <c r="O17" s="6">
        <f>Table1[[#This Row],[Percent Effort]]*$E$4</f>
        <v>36.400000000000006</v>
      </c>
      <c r="P17" s="6">
        <f>Table1[[#This Row],[Percent Effort]]*$E$5</f>
        <v>26.6</v>
      </c>
      <c r="Q17" s="6">
        <f>Table1[[#This Row],[Percent Effort]]*$E$6</f>
        <v>9.8000000000000007</v>
      </c>
      <c r="R17" s="6">
        <f>Table1[[#This Row],[Percent Effort]]*$F$4</f>
        <v>291.20000000000005</v>
      </c>
      <c r="S17" s="6">
        <f>Table1[[#This Row],[Percent Effort]]*$F$5</f>
        <v>212.8</v>
      </c>
      <c r="T17" s="6">
        <f>Table1[[#This Row],[Percent Effort]]*$F$6</f>
        <v>78.400000000000006</v>
      </c>
    </row>
    <row r="18" spans="2:20" x14ac:dyDescent="0.2">
      <c r="B18" s="26"/>
      <c r="D18" s="27"/>
      <c r="E18" s="27"/>
      <c r="F18" s="6"/>
      <c r="G18" s="10"/>
      <c r="H18" s="2">
        <v>0.15</v>
      </c>
      <c r="I18" s="11">
        <f>Table1[[#This Row],[Percent Effort]]*$C$4</f>
        <v>1.7999999999999998</v>
      </c>
      <c r="J18" s="11">
        <f>Table1[[#This Row],[Percent Effort]]*$C$5</f>
        <v>1.3154999999999999</v>
      </c>
      <c r="K18" s="11">
        <f>Table1[[#This Row],[Percent Effort]]*$C$6</f>
        <v>0.48449999999999999</v>
      </c>
      <c r="L18" s="6">
        <f>Table1[[#This Row],[Percent Effort]]*$D$4</f>
        <v>7.8</v>
      </c>
      <c r="M18" s="6">
        <f>Table1[[#This Row],[Percent Effort]]*$D$5</f>
        <v>5.7</v>
      </c>
      <c r="N18" s="6">
        <f>Table1[[#This Row],[Percent Effort]]*$D$6</f>
        <v>2.1</v>
      </c>
      <c r="O18" s="6">
        <f>Table1[[#This Row],[Percent Effort]]*$E$4</f>
        <v>39</v>
      </c>
      <c r="P18" s="6">
        <f>Table1[[#This Row],[Percent Effort]]*$E$5</f>
        <v>28.5</v>
      </c>
      <c r="Q18" s="6">
        <f>Table1[[#This Row],[Percent Effort]]*$E$6</f>
        <v>10.5</v>
      </c>
      <c r="R18" s="6">
        <f>Table1[[#This Row],[Percent Effort]]*$F$4</f>
        <v>312</v>
      </c>
      <c r="S18" s="6">
        <f>Table1[[#This Row],[Percent Effort]]*$F$5</f>
        <v>228</v>
      </c>
      <c r="T18" s="6">
        <f>Table1[[#This Row],[Percent Effort]]*$F$6</f>
        <v>84</v>
      </c>
    </row>
    <row r="19" spans="2:20" x14ac:dyDescent="0.2">
      <c r="B19" s="26"/>
      <c r="D19" s="27"/>
      <c r="E19" s="27"/>
      <c r="F19" s="6"/>
      <c r="G19" s="10"/>
      <c r="H19" s="2">
        <v>0.16</v>
      </c>
      <c r="I19" s="11">
        <f>Table1[[#This Row],[Percent Effort]]*$C$4</f>
        <v>1.92</v>
      </c>
      <c r="J19" s="11">
        <f>Table1[[#This Row],[Percent Effort]]*$C$5</f>
        <v>1.4032</v>
      </c>
      <c r="K19" s="11">
        <f>Table1[[#This Row],[Percent Effort]]*$C$6</f>
        <v>0.51680000000000004</v>
      </c>
      <c r="L19" s="6">
        <f>Table1[[#This Row],[Percent Effort]]*$D$4</f>
        <v>8.32</v>
      </c>
      <c r="M19" s="6">
        <f>Table1[[#This Row],[Percent Effort]]*$D$5</f>
        <v>6.08</v>
      </c>
      <c r="N19" s="6">
        <f>Table1[[#This Row],[Percent Effort]]*$D$6</f>
        <v>2.2400000000000002</v>
      </c>
      <c r="O19" s="6">
        <f>Table1[[#This Row],[Percent Effort]]*$E$4</f>
        <v>41.6</v>
      </c>
      <c r="P19" s="6">
        <f>Table1[[#This Row],[Percent Effort]]*$E$5</f>
        <v>30.400000000000002</v>
      </c>
      <c r="Q19" s="6">
        <f>Table1[[#This Row],[Percent Effort]]*$E$6</f>
        <v>11.200000000000001</v>
      </c>
      <c r="R19" s="6">
        <f>Table1[[#This Row],[Percent Effort]]*$F$4</f>
        <v>332.8</v>
      </c>
      <c r="S19" s="6">
        <f>Table1[[#This Row],[Percent Effort]]*$F$5</f>
        <v>243.20000000000002</v>
      </c>
      <c r="T19" s="6">
        <f>Table1[[#This Row],[Percent Effort]]*$F$6</f>
        <v>89.600000000000009</v>
      </c>
    </row>
    <row r="20" spans="2:20" x14ac:dyDescent="0.2">
      <c r="B20" s="26"/>
      <c r="D20" s="27"/>
      <c r="E20" s="27"/>
      <c r="F20" s="6"/>
      <c r="G20" s="10"/>
      <c r="H20" s="2">
        <v>0.17</v>
      </c>
      <c r="I20" s="11">
        <f>Table1[[#This Row],[Percent Effort]]*$C$4</f>
        <v>2.04</v>
      </c>
      <c r="J20" s="11">
        <f>Table1[[#This Row],[Percent Effort]]*$C$5</f>
        <v>1.4909000000000001</v>
      </c>
      <c r="K20" s="11">
        <f>Table1[[#This Row],[Percent Effort]]*$C$6</f>
        <v>0.54910000000000003</v>
      </c>
      <c r="L20" s="6">
        <f>Table1[[#This Row],[Percent Effort]]*$D$4</f>
        <v>8.84</v>
      </c>
      <c r="M20" s="6">
        <f>Table1[[#This Row],[Percent Effort]]*$D$5</f>
        <v>6.4600000000000009</v>
      </c>
      <c r="N20" s="6">
        <f>Table1[[#This Row],[Percent Effort]]*$D$6</f>
        <v>2.3800000000000003</v>
      </c>
      <c r="O20" s="6">
        <f>Table1[[#This Row],[Percent Effort]]*$E$4</f>
        <v>44.2</v>
      </c>
      <c r="P20" s="6">
        <f>Table1[[#This Row],[Percent Effort]]*$E$5</f>
        <v>32.300000000000004</v>
      </c>
      <c r="Q20" s="6">
        <f>Table1[[#This Row],[Percent Effort]]*$E$6</f>
        <v>11.9</v>
      </c>
      <c r="R20" s="6">
        <f>Table1[[#This Row],[Percent Effort]]*$F$4</f>
        <v>353.6</v>
      </c>
      <c r="S20" s="6">
        <f>Table1[[#This Row],[Percent Effort]]*$F$5</f>
        <v>258.40000000000003</v>
      </c>
      <c r="T20" s="6">
        <f>Table1[[#This Row],[Percent Effort]]*$F$6</f>
        <v>95.2</v>
      </c>
    </row>
    <row r="21" spans="2:20" x14ac:dyDescent="0.2">
      <c r="B21" s="26"/>
      <c r="D21" s="27"/>
      <c r="E21" s="27"/>
      <c r="H21" s="2">
        <v>0.18</v>
      </c>
      <c r="I21" s="11">
        <f>Table1[[#This Row],[Percent Effort]]*$C$4</f>
        <v>2.16</v>
      </c>
      <c r="J21" s="11">
        <f>Table1[[#This Row],[Percent Effort]]*$C$5</f>
        <v>1.5785999999999998</v>
      </c>
      <c r="K21" s="11">
        <f>Table1[[#This Row],[Percent Effort]]*$C$6</f>
        <v>0.58140000000000003</v>
      </c>
      <c r="L21" s="6">
        <f>Table1[[#This Row],[Percent Effort]]*$D$4</f>
        <v>9.36</v>
      </c>
      <c r="M21" s="6">
        <f>Table1[[#This Row],[Percent Effort]]*$D$5</f>
        <v>6.84</v>
      </c>
      <c r="N21" s="6">
        <f>Table1[[#This Row],[Percent Effort]]*$D$6</f>
        <v>2.52</v>
      </c>
      <c r="O21" s="6">
        <f>Table1[[#This Row],[Percent Effort]]*$E$4</f>
        <v>46.8</v>
      </c>
      <c r="P21" s="6">
        <f>Table1[[#This Row],[Percent Effort]]*$E$5</f>
        <v>34.199999999999996</v>
      </c>
      <c r="Q21" s="6">
        <f>Table1[[#This Row],[Percent Effort]]*$E$6</f>
        <v>12.6</v>
      </c>
      <c r="R21" s="6">
        <f>Table1[[#This Row],[Percent Effort]]*$F$4</f>
        <v>374.4</v>
      </c>
      <c r="S21" s="6">
        <f>Table1[[#This Row],[Percent Effort]]*$F$5</f>
        <v>273.59999999999997</v>
      </c>
      <c r="T21" s="6">
        <f>Table1[[#This Row],[Percent Effort]]*$F$6</f>
        <v>100.8</v>
      </c>
    </row>
    <row r="22" spans="2:20" x14ac:dyDescent="0.2">
      <c r="B22" s="26"/>
      <c r="D22" s="15"/>
      <c r="E22" s="15"/>
      <c r="H22" s="2">
        <v>0.19</v>
      </c>
      <c r="I22" s="11">
        <f>Table1[[#This Row],[Percent Effort]]*$C$4</f>
        <v>2.2800000000000002</v>
      </c>
      <c r="J22" s="11">
        <f>Table1[[#This Row],[Percent Effort]]*$C$5</f>
        <v>1.6662999999999999</v>
      </c>
      <c r="K22" s="11">
        <f>Table1[[#This Row],[Percent Effort]]*$C$6</f>
        <v>0.61370000000000002</v>
      </c>
      <c r="L22" s="6">
        <f>Table1[[#This Row],[Percent Effort]]*$D$4</f>
        <v>9.8800000000000008</v>
      </c>
      <c r="M22" s="6">
        <f>Table1[[#This Row],[Percent Effort]]*$D$5</f>
        <v>7.22</v>
      </c>
      <c r="N22" s="6">
        <f>Table1[[#This Row],[Percent Effort]]*$D$6</f>
        <v>2.66</v>
      </c>
      <c r="O22" s="6">
        <f>Table1[[#This Row],[Percent Effort]]*$E$4</f>
        <v>49.4</v>
      </c>
      <c r="P22" s="6">
        <f>Table1[[#This Row],[Percent Effort]]*$E$5</f>
        <v>36.1</v>
      </c>
      <c r="Q22" s="6">
        <f>Table1[[#This Row],[Percent Effort]]*$E$6</f>
        <v>13.3</v>
      </c>
      <c r="R22" s="6">
        <f>Table1[[#This Row],[Percent Effort]]*$F$4</f>
        <v>395.2</v>
      </c>
      <c r="S22" s="6">
        <f>Table1[[#This Row],[Percent Effort]]*$F$5</f>
        <v>288.8</v>
      </c>
      <c r="T22" s="6">
        <f>Table1[[#This Row],[Percent Effort]]*$F$6</f>
        <v>106.4</v>
      </c>
    </row>
    <row r="23" spans="2:20" x14ac:dyDescent="0.2">
      <c r="B23" s="26"/>
      <c r="D23" s="27"/>
      <c r="E23" s="27"/>
      <c r="H23" s="2">
        <v>0.2</v>
      </c>
      <c r="I23" s="11">
        <f>Table1[[#This Row],[Percent Effort]]*$C$4</f>
        <v>2.4000000000000004</v>
      </c>
      <c r="J23" s="11">
        <f>Table1[[#This Row],[Percent Effort]]*$C$5</f>
        <v>1.754</v>
      </c>
      <c r="K23" s="11">
        <f>Table1[[#This Row],[Percent Effort]]*$C$6</f>
        <v>0.64600000000000002</v>
      </c>
      <c r="L23" s="6">
        <f>Table1[[#This Row],[Percent Effort]]*$D$4</f>
        <v>10.4</v>
      </c>
      <c r="M23" s="6">
        <f>Table1[[#This Row],[Percent Effort]]*$D$5</f>
        <v>7.6000000000000005</v>
      </c>
      <c r="N23" s="6">
        <f>Table1[[#This Row],[Percent Effort]]*$D$6</f>
        <v>2.8000000000000003</v>
      </c>
      <c r="O23" s="6">
        <f>Table1[[#This Row],[Percent Effort]]*$E$4</f>
        <v>52</v>
      </c>
      <c r="P23" s="6">
        <f>Table1[[#This Row],[Percent Effort]]*$E$5</f>
        <v>38</v>
      </c>
      <c r="Q23" s="6">
        <f>Table1[[#This Row],[Percent Effort]]*$E$6</f>
        <v>14</v>
      </c>
      <c r="R23" s="6">
        <f>Table1[[#This Row],[Percent Effort]]*$F$4</f>
        <v>416</v>
      </c>
      <c r="S23" s="6">
        <f>Table1[[#This Row],[Percent Effort]]*$F$5</f>
        <v>304</v>
      </c>
      <c r="T23" s="6">
        <f>Table1[[#This Row],[Percent Effort]]*$F$6</f>
        <v>112</v>
      </c>
    </row>
    <row r="24" spans="2:20" x14ac:dyDescent="0.2">
      <c r="B24" s="26"/>
      <c r="D24" s="27"/>
      <c r="E24" s="27"/>
      <c r="H24" s="2">
        <v>0.21</v>
      </c>
      <c r="I24" s="11">
        <f>Table1[[#This Row],[Percent Effort]]*$C$4</f>
        <v>2.52</v>
      </c>
      <c r="J24" s="11">
        <f>Table1[[#This Row],[Percent Effort]]*$C$5</f>
        <v>1.8416999999999999</v>
      </c>
      <c r="K24" s="11">
        <f>Table1[[#This Row],[Percent Effort]]*$C$6</f>
        <v>0.67830000000000001</v>
      </c>
      <c r="L24" s="6">
        <f>Table1[[#This Row],[Percent Effort]]*$D$4</f>
        <v>10.92</v>
      </c>
      <c r="M24" s="6">
        <f>Table1[[#This Row],[Percent Effort]]*$D$5</f>
        <v>7.9799999999999995</v>
      </c>
      <c r="N24" s="6">
        <f>Table1[[#This Row],[Percent Effort]]*$D$6</f>
        <v>2.94</v>
      </c>
      <c r="O24" s="6">
        <f>Table1[[#This Row],[Percent Effort]]*$E$4</f>
        <v>54.6</v>
      </c>
      <c r="P24" s="6">
        <f>Table1[[#This Row],[Percent Effort]]*$E$5</f>
        <v>39.9</v>
      </c>
      <c r="Q24" s="6">
        <f>Table1[[#This Row],[Percent Effort]]*$E$6</f>
        <v>14.7</v>
      </c>
      <c r="R24" s="6">
        <f>Table1[[#This Row],[Percent Effort]]*$F$4</f>
        <v>436.8</v>
      </c>
      <c r="S24" s="6">
        <f>Table1[[#This Row],[Percent Effort]]*$F$5</f>
        <v>319.2</v>
      </c>
      <c r="T24" s="6">
        <f>Table1[[#This Row],[Percent Effort]]*$F$6</f>
        <v>117.6</v>
      </c>
    </row>
    <row r="25" spans="2:20" x14ac:dyDescent="0.2">
      <c r="B25" s="26"/>
      <c r="D25" s="27"/>
      <c r="E25" s="27"/>
      <c r="H25" s="2">
        <v>0.22</v>
      </c>
      <c r="I25" s="11">
        <f>Table1[[#This Row],[Percent Effort]]*$C$4</f>
        <v>2.64</v>
      </c>
      <c r="J25" s="11">
        <f>Table1[[#This Row],[Percent Effort]]*$C$5</f>
        <v>1.9294</v>
      </c>
      <c r="K25" s="11">
        <f>Table1[[#This Row],[Percent Effort]]*$C$6</f>
        <v>0.71060000000000001</v>
      </c>
      <c r="L25" s="6">
        <f>Table1[[#This Row],[Percent Effort]]*$D$4</f>
        <v>11.44</v>
      </c>
      <c r="M25" s="6">
        <f>Table1[[#This Row],[Percent Effort]]*$D$5</f>
        <v>8.36</v>
      </c>
      <c r="N25" s="6">
        <f>Table1[[#This Row],[Percent Effort]]*$D$6</f>
        <v>3.08</v>
      </c>
      <c r="O25" s="6">
        <f>Table1[[#This Row],[Percent Effort]]*$E$4</f>
        <v>57.2</v>
      </c>
      <c r="P25" s="6">
        <f>Table1[[#This Row],[Percent Effort]]*$E$5</f>
        <v>41.8</v>
      </c>
      <c r="Q25" s="6">
        <f>Table1[[#This Row],[Percent Effort]]*$E$6</f>
        <v>15.4</v>
      </c>
      <c r="R25" s="6">
        <f>Table1[[#This Row],[Percent Effort]]*$F$4</f>
        <v>457.6</v>
      </c>
      <c r="S25" s="6">
        <f>Table1[[#This Row],[Percent Effort]]*$F$5</f>
        <v>334.4</v>
      </c>
      <c r="T25" s="6">
        <f>Table1[[#This Row],[Percent Effort]]*$F$6</f>
        <v>123.2</v>
      </c>
    </row>
    <row r="26" spans="2:20" x14ac:dyDescent="0.2">
      <c r="B26" s="26"/>
      <c r="D26" s="27"/>
      <c r="E26" s="27"/>
      <c r="H26" s="2">
        <v>0.23</v>
      </c>
      <c r="I26" s="11">
        <f>Table1[[#This Row],[Percent Effort]]*$C$4</f>
        <v>2.7600000000000002</v>
      </c>
      <c r="J26" s="11">
        <f>Table1[[#This Row],[Percent Effort]]*$C$5</f>
        <v>2.0171000000000001</v>
      </c>
      <c r="K26" s="11">
        <f>Table1[[#This Row],[Percent Effort]]*$C$6</f>
        <v>0.7429</v>
      </c>
      <c r="L26" s="6">
        <f>Table1[[#This Row],[Percent Effort]]*$D$4</f>
        <v>11.96</v>
      </c>
      <c r="M26" s="6">
        <f>Table1[[#This Row],[Percent Effort]]*$D$5</f>
        <v>8.74</v>
      </c>
      <c r="N26" s="6">
        <f>Table1[[#This Row],[Percent Effort]]*$D$6</f>
        <v>3.22</v>
      </c>
      <c r="O26" s="6">
        <f>Table1[[#This Row],[Percent Effort]]*$E$4</f>
        <v>59.800000000000004</v>
      </c>
      <c r="P26" s="6">
        <f>Table1[[#This Row],[Percent Effort]]*$E$5</f>
        <v>43.7</v>
      </c>
      <c r="Q26" s="6">
        <f>Table1[[#This Row],[Percent Effort]]*$E$6</f>
        <v>16.100000000000001</v>
      </c>
      <c r="R26" s="6">
        <f>Table1[[#This Row],[Percent Effort]]*$F$4</f>
        <v>478.40000000000003</v>
      </c>
      <c r="S26" s="6">
        <f>Table1[[#This Row],[Percent Effort]]*$F$5</f>
        <v>349.6</v>
      </c>
      <c r="T26" s="6">
        <f>Table1[[#This Row],[Percent Effort]]*$F$6</f>
        <v>128.80000000000001</v>
      </c>
    </row>
    <row r="27" spans="2:20" x14ac:dyDescent="0.2">
      <c r="B27" s="26"/>
      <c r="D27" s="15"/>
      <c r="E27" s="15"/>
      <c r="H27" s="2">
        <v>0.24</v>
      </c>
      <c r="I27" s="11">
        <f>Table1[[#This Row],[Percent Effort]]*$C$4</f>
        <v>2.88</v>
      </c>
      <c r="J27" s="11">
        <f>Table1[[#This Row],[Percent Effort]]*$C$5</f>
        <v>2.1048</v>
      </c>
      <c r="K27" s="11">
        <f>Table1[[#This Row],[Percent Effort]]*$C$6</f>
        <v>0.7752</v>
      </c>
      <c r="L27" s="6">
        <f>Table1[[#This Row],[Percent Effort]]*$D$4</f>
        <v>12.48</v>
      </c>
      <c r="M27" s="6">
        <f>Table1[[#This Row],[Percent Effort]]*$D$5</f>
        <v>9.1199999999999992</v>
      </c>
      <c r="N27" s="6">
        <f>Table1[[#This Row],[Percent Effort]]*$D$6</f>
        <v>3.36</v>
      </c>
      <c r="O27" s="6">
        <f>Table1[[#This Row],[Percent Effort]]*$E$4</f>
        <v>62.4</v>
      </c>
      <c r="P27" s="6">
        <f>Table1[[#This Row],[Percent Effort]]*$E$5</f>
        <v>45.6</v>
      </c>
      <c r="Q27" s="6">
        <f>Table1[[#This Row],[Percent Effort]]*$E$6</f>
        <v>16.8</v>
      </c>
      <c r="R27" s="6">
        <f>Table1[[#This Row],[Percent Effort]]*$F$4</f>
        <v>499.2</v>
      </c>
      <c r="S27" s="6">
        <f>Table1[[#This Row],[Percent Effort]]*$F$5</f>
        <v>364.8</v>
      </c>
      <c r="T27" s="6">
        <f>Table1[[#This Row],[Percent Effort]]*$F$6</f>
        <v>134.4</v>
      </c>
    </row>
    <row r="28" spans="2:20" x14ac:dyDescent="0.2">
      <c r="B28" s="26"/>
      <c r="D28" s="27"/>
      <c r="E28" s="27"/>
      <c r="H28" s="2">
        <v>0.25</v>
      </c>
      <c r="I28" s="11">
        <f>Table1[[#This Row],[Percent Effort]]*$C$4</f>
        <v>3</v>
      </c>
      <c r="J28" s="11">
        <f>Table1[[#This Row],[Percent Effort]]*$C$5</f>
        <v>2.1924999999999999</v>
      </c>
      <c r="K28" s="11">
        <f>Table1[[#This Row],[Percent Effort]]*$C$6</f>
        <v>0.8075</v>
      </c>
      <c r="L28" s="6">
        <f>Table1[[#This Row],[Percent Effort]]*$D$4</f>
        <v>13</v>
      </c>
      <c r="M28" s="6">
        <f>Table1[[#This Row],[Percent Effort]]*$D$5</f>
        <v>9.5</v>
      </c>
      <c r="N28" s="6">
        <f>Table1[[#This Row],[Percent Effort]]*$D$6</f>
        <v>3.5</v>
      </c>
      <c r="O28" s="6">
        <f>Table1[[#This Row],[Percent Effort]]*$E$4</f>
        <v>65</v>
      </c>
      <c r="P28" s="6">
        <f>Table1[[#This Row],[Percent Effort]]*$E$5</f>
        <v>47.5</v>
      </c>
      <c r="Q28" s="6">
        <f>Table1[[#This Row],[Percent Effort]]*$E$6</f>
        <v>17.5</v>
      </c>
      <c r="R28" s="6">
        <f>Table1[[#This Row],[Percent Effort]]*$F$4</f>
        <v>520</v>
      </c>
      <c r="S28" s="6">
        <f>Table1[[#This Row],[Percent Effort]]*$F$5</f>
        <v>380</v>
      </c>
      <c r="T28" s="6">
        <f>Table1[[#This Row],[Percent Effort]]*$F$6</f>
        <v>140</v>
      </c>
    </row>
    <row r="29" spans="2:20" x14ac:dyDescent="0.2">
      <c r="B29" s="26"/>
      <c r="D29" s="15"/>
      <c r="E29" s="15"/>
      <c r="H29" s="2">
        <v>0.26</v>
      </c>
      <c r="I29" s="11">
        <f>Table1[[#This Row],[Percent Effort]]*$C$4</f>
        <v>3.12</v>
      </c>
      <c r="J29" s="11">
        <f>Table1[[#This Row],[Percent Effort]]*$C$5</f>
        <v>2.2801999999999998</v>
      </c>
      <c r="K29" s="11">
        <f>Table1[[#This Row],[Percent Effort]]*$C$6</f>
        <v>0.83979999999999999</v>
      </c>
      <c r="L29" s="6">
        <f>Table1[[#This Row],[Percent Effort]]*$D$4</f>
        <v>13.52</v>
      </c>
      <c r="M29" s="6">
        <f>Table1[[#This Row],[Percent Effort]]*$D$5</f>
        <v>9.8800000000000008</v>
      </c>
      <c r="N29" s="6">
        <f>Table1[[#This Row],[Percent Effort]]*$D$6</f>
        <v>3.64</v>
      </c>
      <c r="O29" s="6">
        <f>Table1[[#This Row],[Percent Effort]]*$E$4</f>
        <v>67.600000000000009</v>
      </c>
      <c r="P29" s="6">
        <f>Table1[[#This Row],[Percent Effort]]*$E$5</f>
        <v>49.4</v>
      </c>
      <c r="Q29" s="6">
        <f>Table1[[#This Row],[Percent Effort]]*$E$6</f>
        <v>18.2</v>
      </c>
      <c r="R29" s="6">
        <f>Table1[[#This Row],[Percent Effort]]*$F$4</f>
        <v>540.80000000000007</v>
      </c>
      <c r="S29" s="6">
        <f>Table1[[#This Row],[Percent Effort]]*$F$5</f>
        <v>395.2</v>
      </c>
      <c r="T29" s="6">
        <f>Table1[[#This Row],[Percent Effort]]*$F$6</f>
        <v>145.6</v>
      </c>
    </row>
    <row r="30" spans="2:20" x14ac:dyDescent="0.2">
      <c r="B30" s="26"/>
      <c r="D30" s="15"/>
      <c r="E30" s="15"/>
      <c r="H30" s="2">
        <v>0.27</v>
      </c>
      <c r="I30" s="11">
        <f>Table1[[#This Row],[Percent Effort]]*$C$4</f>
        <v>3.24</v>
      </c>
      <c r="J30" s="11">
        <f>Table1[[#This Row],[Percent Effort]]*$C$5</f>
        <v>2.3679000000000001</v>
      </c>
      <c r="K30" s="11">
        <f>Table1[[#This Row],[Percent Effort]]*$C$6</f>
        <v>0.8721000000000001</v>
      </c>
      <c r="L30" s="6">
        <f>Table1[[#This Row],[Percent Effort]]*$D$4</f>
        <v>14.040000000000001</v>
      </c>
      <c r="M30" s="6">
        <f>Table1[[#This Row],[Percent Effort]]*$D$5</f>
        <v>10.260000000000002</v>
      </c>
      <c r="N30" s="6">
        <f>Table1[[#This Row],[Percent Effort]]*$D$6</f>
        <v>3.7800000000000002</v>
      </c>
      <c r="O30" s="6">
        <f>Table1[[#This Row],[Percent Effort]]*$E$4</f>
        <v>70.2</v>
      </c>
      <c r="P30" s="6">
        <f>Table1[[#This Row],[Percent Effort]]*$E$5</f>
        <v>51.300000000000004</v>
      </c>
      <c r="Q30" s="6">
        <f>Table1[[#This Row],[Percent Effort]]*$E$6</f>
        <v>18.900000000000002</v>
      </c>
      <c r="R30" s="6">
        <f>Table1[[#This Row],[Percent Effort]]*$F$4</f>
        <v>561.6</v>
      </c>
      <c r="S30" s="6">
        <f>Table1[[#This Row],[Percent Effort]]*$F$5</f>
        <v>410.40000000000003</v>
      </c>
      <c r="T30" s="6">
        <f>Table1[[#This Row],[Percent Effort]]*$F$6</f>
        <v>151.20000000000002</v>
      </c>
    </row>
    <row r="31" spans="2:20" x14ac:dyDescent="0.2">
      <c r="B31" s="26"/>
      <c r="D31" s="15"/>
      <c r="E31" s="15"/>
      <c r="H31" s="2">
        <v>0.28000000000000003</v>
      </c>
      <c r="I31" s="11">
        <f>Table1[[#This Row],[Percent Effort]]*$C$4</f>
        <v>3.3600000000000003</v>
      </c>
      <c r="J31" s="11">
        <f>Table1[[#This Row],[Percent Effort]]*$C$5</f>
        <v>2.4556</v>
      </c>
      <c r="K31" s="11">
        <f>Table1[[#This Row],[Percent Effort]]*$C$6</f>
        <v>0.90440000000000009</v>
      </c>
      <c r="L31" s="6">
        <f>Table1[[#This Row],[Percent Effort]]*$D$4</f>
        <v>14.560000000000002</v>
      </c>
      <c r="M31" s="6">
        <f>Table1[[#This Row],[Percent Effort]]*$D$5</f>
        <v>10.64</v>
      </c>
      <c r="N31" s="6">
        <f>Table1[[#This Row],[Percent Effort]]*$D$6</f>
        <v>3.9200000000000004</v>
      </c>
      <c r="O31" s="6">
        <f>Table1[[#This Row],[Percent Effort]]*$E$4</f>
        <v>72.800000000000011</v>
      </c>
      <c r="P31" s="6">
        <f>Table1[[#This Row],[Percent Effort]]*$E$5</f>
        <v>53.2</v>
      </c>
      <c r="Q31" s="6">
        <f>Table1[[#This Row],[Percent Effort]]*$E$6</f>
        <v>19.600000000000001</v>
      </c>
      <c r="R31" s="6">
        <f>Table1[[#This Row],[Percent Effort]]*$F$4</f>
        <v>582.40000000000009</v>
      </c>
      <c r="S31" s="6">
        <f>Table1[[#This Row],[Percent Effort]]*$F$5</f>
        <v>425.6</v>
      </c>
      <c r="T31" s="6">
        <f>Table1[[#This Row],[Percent Effort]]*$F$6</f>
        <v>156.80000000000001</v>
      </c>
    </row>
    <row r="32" spans="2:20" x14ac:dyDescent="0.2">
      <c r="D32" s="28"/>
      <c r="E32" s="29"/>
      <c r="H32" s="2">
        <v>0.28999999999999998</v>
      </c>
      <c r="I32" s="11">
        <f>Table1[[#This Row],[Percent Effort]]*$C$4</f>
        <v>3.4799999999999995</v>
      </c>
      <c r="J32" s="11">
        <f>Table1[[#This Row],[Percent Effort]]*$C$5</f>
        <v>2.5432999999999999</v>
      </c>
      <c r="K32" s="11">
        <f>Table1[[#This Row],[Percent Effort]]*$C$6</f>
        <v>0.93669999999999998</v>
      </c>
      <c r="L32" s="6">
        <f>Table1[[#This Row],[Percent Effort]]*$D$4</f>
        <v>15.079999999999998</v>
      </c>
      <c r="M32" s="6">
        <f>Table1[[#This Row],[Percent Effort]]*$D$5</f>
        <v>11.02</v>
      </c>
      <c r="N32" s="6">
        <f>Table1[[#This Row],[Percent Effort]]*$D$6</f>
        <v>4.0599999999999996</v>
      </c>
      <c r="O32" s="6">
        <f>Table1[[#This Row],[Percent Effort]]*$E$4</f>
        <v>75.399999999999991</v>
      </c>
      <c r="P32" s="6">
        <f>Table1[[#This Row],[Percent Effort]]*$E$5</f>
        <v>55.099999999999994</v>
      </c>
      <c r="Q32" s="6">
        <f>Table1[[#This Row],[Percent Effort]]*$E$6</f>
        <v>20.299999999999997</v>
      </c>
      <c r="R32" s="6">
        <f>Table1[[#This Row],[Percent Effort]]*$F$4</f>
        <v>603.19999999999993</v>
      </c>
      <c r="S32" s="6">
        <f>Table1[[#This Row],[Percent Effort]]*$F$5</f>
        <v>440.79999999999995</v>
      </c>
      <c r="T32" s="6">
        <f>Table1[[#This Row],[Percent Effort]]*$F$6</f>
        <v>162.39999999999998</v>
      </c>
    </row>
    <row r="33" spans="8:20" x14ac:dyDescent="0.2">
      <c r="H33" s="2">
        <v>0.3</v>
      </c>
      <c r="I33" s="11">
        <f>Table1[[#This Row],[Percent Effort]]*$C$4</f>
        <v>3.5999999999999996</v>
      </c>
      <c r="J33" s="11">
        <f>Table1[[#This Row],[Percent Effort]]*$C$5</f>
        <v>2.6309999999999998</v>
      </c>
      <c r="K33" s="11">
        <f>Table1[[#This Row],[Percent Effort]]*$C$6</f>
        <v>0.96899999999999997</v>
      </c>
      <c r="L33" s="6">
        <f>Table1[[#This Row],[Percent Effort]]*$D$4</f>
        <v>15.6</v>
      </c>
      <c r="M33" s="6">
        <f>Table1[[#This Row],[Percent Effort]]*$D$5</f>
        <v>11.4</v>
      </c>
      <c r="N33" s="6">
        <f>Table1[[#This Row],[Percent Effort]]*$D$6</f>
        <v>4.2</v>
      </c>
      <c r="O33" s="6">
        <f>Table1[[#This Row],[Percent Effort]]*$E$4</f>
        <v>78</v>
      </c>
      <c r="P33" s="6">
        <f>Table1[[#This Row],[Percent Effort]]*$E$5</f>
        <v>57</v>
      </c>
      <c r="Q33" s="6">
        <f>Table1[[#This Row],[Percent Effort]]*$E$6</f>
        <v>21</v>
      </c>
      <c r="R33" s="6">
        <f>Table1[[#This Row],[Percent Effort]]*$F$4</f>
        <v>624</v>
      </c>
      <c r="S33" s="6">
        <f>Table1[[#This Row],[Percent Effort]]*$F$5</f>
        <v>456</v>
      </c>
      <c r="T33" s="6">
        <f>Table1[[#This Row],[Percent Effort]]*$F$6</f>
        <v>168</v>
      </c>
    </row>
    <row r="34" spans="8:20" x14ac:dyDescent="0.2">
      <c r="H34" s="2">
        <v>0.31</v>
      </c>
      <c r="I34" s="11">
        <f>Table1[[#This Row],[Percent Effort]]*$C$4</f>
        <v>3.7199999999999998</v>
      </c>
      <c r="J34" s="11">
        <f>Table1[[#This Row],[Percent Effort]]*$C$5</f>
        <v>2.7186999999999997</v>
      </c>
      <c r="K34" s="11">
        <f>Table1[[#This Row],[Percent Effort]]*$C$6</f>
        <v>1.0013000000000001</v>
      </c>
      <c r="L34" s="6">
        <f>Table1[[#This Row],[Percent Effort]]*$D$4</f>
        <v>16.12</v>
      </c>
      <c r="M34" s="6">
        <f>Table1[[#This Row],[Percent Effort]]*$D$5</f>
        <v>11.78</v>
      </c>
      <c r="N34" s="6">
        <f>Table1[[#This Row],[Percent Effort]]*$D$6</f>
        <v>4.34</v>
      </c>
      <c r="O34" s="6">
        <f>Table1[[#This Row],[Percent Effort]]*$E$4</f>
        <v>80.599999999999994</v>
      </c>
      <c r="P34" s="6">
        <f>Table1[[#This Row],[Percent Effort]]*$E$5</f>
        <v>58.9</v>
      </c>
      <c r="Q34" s="6">
        <f>Table1[[#This Row],[Percent Effort]]*$E$6</f>
        <v>21.7</v>
      </c>
      <c r="R34" s="6">
        <f>Table1[[#This Row],[Percent Effort]]*$F$4</f>
        <v>644.79999999999995</v>
      </c>
      <c r="S34" s="6">
        <f>Table1[[#This Row],[Percent Effort]]*$F$5</f>
        <v>471.2</v>
      </c>
      <c r="T34" s="6">
        <f>Table1[[#This Row],[Percent Effort]]*$F$6</f>
        <v>173.6</v>
      </c>
    </row>
    <row r="35" spans="8:20" x14ac:dyDescent="0.2">
      <c r="H35" s="2">
        <v>0.32</v>
      </c>
      <c r="I35" s="11">
        <f>Table1[[#This Row],[Percent Effort]]*$C$4</f>
        <v>3.84</v>
      </c>
      <c r="J35" s="11">
        <f>Table1[[#This Row],[Percent Effort]]*$C$5</f>
        <v>2.8064</v>
      </c>
      <c r="K35" s="11">
        <f>Table1[[#This Row],[Percent Effort]]*$C$6</f>
        <v>1.0336000000000001</v>
      </c>
      <c r="L35" s="6">
        <f>Table1[[#This Row],[Percent Effort]]*$D$4</f>
        <v>16.64</v>
      </c>
      <c r="M35" s="6">
        <f>Table1[[#This Row],[Percent Effort]]*$D$5</f>
        <v>12.16</v>
      </c>
      <c r="N35" s="6">
        <f>Table1[[#This Row],[Percent Effort]]*$D$6</f>
        <v>4.4800000000000004</v>
      </c>
      <c r="O35" s="6">
        <f>Table1[[#This Row],[Percent Effort]]*$E$4</f>
        <v>83.2</v>
      </c>
      <c r="P35" s="6">
        <f>Table1[[#This Row],[Percent Effort]]*$E$5</f>
        <v>60.800000000000004</v>
      </c>
      <c r="Q35" s="6">
        <f>Table1[[#This Row],[Percent Effort]]*$E$6</f>
        <v>22.400000000000002</v>
      </c>
      <c r="R35" s="6">
        <f>Table1[[#This Row],[Percent Effort]]*$F$4</f>
        <v>665.6</v>
      </c>
      <c r="S35" s="6">
        <f>Table1[[#This Row],[Percent Effort]]*$F$5</f>
        <v>486.40000000000003</v>
      </c>
      <c r="T35" s="6">
        <f>Table1[[#This Row],[Percent Effort]]*$F$6</f>
        <v>179.20000000000002</v>
      </c>
    </row>
    <row r="36" spans="8:20" x14ac:dyDescent="0.2">
      <c r="H36" s="2">
        <v>0.33</v>
      </c>
      <c r="I36" s="11">
        <f>Table1[[#This Row],[Percent Effort]]*$C$4</f>
        <v>3.96</v>
      </c>
      <c r="J36" s="11">
        <f>Table1[[#This Row],[Percent Effort]]*$C$5</f>
        <v>2.8940999999999999</v>
      </c>
      <c r="K36" s="11">
        <f>Table1[[#This Row],[Percent Effort]]*$C$6</f>
        <v>1.0659000000000001</v>
      </c>
      <c r="L36" s="6">
        <f>Table1[[#This Row],[Percent Effort]]*$D$4</f>
        <v>17.16</v>
      </c>
      <c r="M36" s="6">
        <f>Table1[[#This Row],[Percent Effort]]*$D$5</f>
        <v>12.540000000000001</v>
      </c>
      <c r="N36" s="6">
        <f>Table1[[#This Row],[Percent Effort]]*$D$6</f>
        <v>4.62</v>
      </c>
      <c r="O36" s="6">
        <f>Table1[[#This Row],[Percent Effort]]*$E$4</f>
        <v>85.8</v>
      </c>
      <c r="P36" s="6">
        <f>Table1[[#This Row],[Percent Effort]]*$E$5</f>
        <v>62.7</v>
      </c>
      <c r="Q36" s="6">
        <f>Table1[[#This Row],[Percent Effort]]*$E$6</f>
        <v>23.1</v>
      </c>
      <c r="R36" s="6">
        <f>Table1[[#This Row],[Percent Effort]]*$F$4</f>
        <v>686.4</v>
      </c>
      <c r="S36" s="6">
        <f>Table1[[#This Row],[Percent Effort]]*$F$5</f>
        <v>501.6</v>
      </c>
      <c r="T36" s="6">
        <f>Table1[[#This Row],[Percent Effort]]*$F$6</f>
        <v>184.8</v>
      </c>
    </row>
    <row r="37" spans="8:20" x14ac:dyDescent="0.2">
      <c r="H37" s="2">
        <v>0.34</v>
      </c>
      <c r="I37" s="11">
        <f>Table1[[#This Row],[Percent Effort]]*$C$4</f>
        <v>4.08</v>
      </c>
      <c r="J37" s="11">
        <f>Table1[[#This Row],[Percent Effort]]*$C$5</f>
        <v>2.9818000000000002</v>
      </c>
      <c r="K37" s="11">
        <f>Table1[[#This Row],[Percent Effort]]*$C$6</f>
        <v>1.0982000000000001</v>
      </c>
      <c r="L37" s="6">
        <f>Table1[[#This Row],[Percent Effort]]*$D$4</f>
        <v>17.68</v>
      </c>
      <c r="M37" s="6">
        <f>Table1[[#This Row],[Percent Effort]]*$D$5</f>
        <v>12.920000000000002</v>
      </c>
      <c r="N37" s="6">
        <f>Table1[[#This Row],[Percent Effort]]*$D$6</f>
        <v>4.7600000000000007</v>
      </c>
      <c r="O37" s="6">
        <f>Table1[[#This Row],[Percent Effort]]*$E$4</f>
        <v>88.4</v>
      </c>
      <c r="P37" s="6">
        <f>Table1[[#This Row],[Percent Effort]]*$E$5</f>
        <v>64.600000000000009</v>
      </c>
      <c r="Q37" s="6">
        <f>Table1[[#This Row],[Percent Effort]]*$E$6</f>
        <v>23.8</v>
      </c>
      <c r="R37" s="6">
        <f>Table1[[#This Row],[Percent Effort]]*$F$4</f>
        <v>707.2</v>
      </c>
      <c r="S37" s="6">
        <f>Table1[[#This Row],[Percent Effort]]*$F$5</f>
        <v>516.80000000000007</v>
      </c>
      <c r="T37" s="6">
        <f>Table1[[#This Row],[Percent Effort]]*$F$6</f>
        <v>190.4</v>
      </c>
    </row>
    <row r="38" spans="8:20" x14ac:dyDescent="0.2">
      <c r="H38" s="2">
        <v>0.35</v>
      </c>
      <c r="I38" s="11">
        <f>Table1[[#This Row],[Percent Effort]]*$C$4</f>
        <v>4.1999999999999993</v>
      </c>
      <c r="J38" s="11">
        <f>Table1[[#This Row],[Percent Effort]]*$C$5</f>
        <v>3.0694999999999997</v>
      </c>
      <c r="K38" s="11">
        <f>Table1[[#This Row],[Percent Effort]]*$C$6</f>
        <v>1.1304999999999998</v>
      </c>
      <c r="L38" s="6">
        <f>Table1[[#This Row],[Percent Effort]]*$D$4</f>
        <v>18.2</v>
      </c>
      <c r="M38" s="6">
        <f>Table1[[#This Row],[Percent Effort]]*$D$5</f>
        <v>13.299999999999999</v>
      </c>
      <c r="N38" s="6">
        <f>Table1[[#This Row],[Percent Effort]]*$D$6</f>
        <v>4.8999999999999995</v>
      </c>
      <c r="O38" s="6">
        <f>Table1[[#This Row],[Percent Effort]]*$E$4</f>
        <v>91</v>
      </c>
      <c r="P38" s="6">
        <f>Table1[[#This Row],[Percent Effort]]*$E$5</f>
        <v>66.5</v>
      </c>
      <c r="Q38" s="6">
        <f>Table1[[#This Row],[Percent Effort]]*$E$6</f>
        <v>24.5</v>
      </c>
      <c r="R38" s="6">
        <f>Table1[[#This Row],[Percent Effort]]*$F$4</f>
        <v>728</v>
      </c>
      <c r="S38" s="6">
        <f>Table1[[#This Row],[Percent Effort]]*$F$5</f>
        <v>532</v>
      </c>
      <c r="T38" s="6">
        <f>Table1[[#This Row],[Percent Effort]]*$F$6</f>
        <v>196</v>
      </c>
    </row>
    <row r="39" spans="8:20" x14ac:dyDescent="0.2">
      <c r="H39" s="2">
        <v>0.36</v>
      </c>
      <c r="I39" s="11">
        <f>Table1[[#This Row],[Percent Effort]]*$C$4</f>
        <v>4.32</v>
      </c>
      <c r="J39" s="11">
        <f>Table1[[#This Row],[Percent Effort]]*$C$5</f>
        <v>3.1571999999999996</v>
      </c>
      <c r="K39" s="11">
        <f>Table1[[#This Row],[Percent Effort]]*$C$6</f>
        <v>1.1628000000000001</v>
      </c>
      <c r="L39" s="6">
        <f>Table1[[#This Row],[Percent Effort]]*$D$4</f>
        <v>18.72</v>
      </c>
      <c r="M39" s="6">
        <f>Table1[[#This Row],[Percent Effort]]*$D$5</f>
        <v>13.68</v>
      </c>
      <c r="N39" s="6">
        <f>Table1[[#This Row],[Percent Effort]]*$D$6</f>
        <v>5.04</v>
      </c>
      <c r="O39" s="6">
        <f>Table1[[#This Row],[Percent Effort]]*$E$4</f>
        <v>93.6</v>
      </c>
      <c r="P39" s="6">
        <f>Table1[[#This Row],[Percent Effort]]*$E$5</f>
        <v>68.399999999999991</v>
      </c>
      <c r="Q39" s="6">
        <f>Table1[[#This Row],[Percent Effort]]*$E$6</f>
        <v>25.2</v>
      </c>
      <c r="R39" s="6">
        <f>Table1[[#This Row],[Percent Effort]]*$F$4</f>
        <v>748.8</v>
      </c>
      <c r="S39" s="6">
        <f>Table1[[#This Row],[Percent Effort]]*$F$5</f>
        <v>547.19999999999993</v>
      </c>
      <c r="T39" s="6">
        <f>Table1[[#This Row],[Percent Effort]]*$F$6</f>
        <v>201.6</v>
      </c>
    </row>
    <row r="40" spans="8:20" x14ac:dyDescent="0.2">
      <c r="H40" s="2">
        <v>0.37</v>
      </c>
      <c r="I40" s="11">
        <f>Table1[[#This Row],[Percent Effort]]*$C$4</f>
        <v>4.4399999999999995</v>
      </c>
      <c r="J40" s="11">
        <f>Table1[[#This Row],[Percent Effort]]*$C$5</f>
        <v>3.2448999999999999</v>
      </c>
      <c r="K40" s="11">
        <f>Table1[[#This Row],[Percent Effort]]*$C$6</f>
        <v>1.1951000000000001</v>
      </c>
      <c r="L40" s="6">
        <f>Table1[[#This Row],[Percent Effort]]*$D$4</f>
        <v>19.239999999999998</v>
      </c>
      <c r="M40" s="6">
        <f>Table1[[#This Row],[Percent Effort]]*$D$5</f>
        <v>14.06</v>
      </c>
      <c r="N40" s="6">
        <f>Table1[[#This Row],[Percent Effort]]*$D$6</f>
        <v>5.18</v>
      </c>
      <c r="O40" s="6">
        <f>Table1[[#This Row],[Percent Effort]]*$E$4</f>
        <v>96.2</v>
      </c>
      <c r="P40" s="6">
        <f>Table1[[#This Row],[Percent Effort]]*$E$5</f>
        <v>70.3</v>
      </c>
      <c r="Q40" s="6">
        <f>Table1[[#This Row],[Percent Effort]]*$E$6</f>
        <v>25.9</v>
      </c>
      <c r="R40" s="6">
        <f>Table1[[#This Row],[Percent Effort]]*$F$4</f>
        <v>769.6</v>
      </c>
      <c r="S40" s="6">
        <f>Table1[[#This Row],[Percent Effort]]*$F$5</f>
        <v>562.4</v>
      </c>
      <c r="T40" s="6">
        <f>Table1[[#This Row],[Percent Effort]]*$F$6</f>
        <v>207.2</v>
      </c>
    </row>
    <row r="41" spans="8:20" x14ac:dyDescent="0.2">
      <c r="H41" s="2">
        <v>0.38</v>
      </c>
      <c r="I41" s="11">
        <f>Table1[[#This Row],[Percent Effort]]*$C$4</f>
        <v>4.5600000000000005</v>
      </c>
      <c r="J41" s="11">
        <f>Table1[[#This Row],[Percent Effort]]*$C$5</f>
        <v>3.3325999999999998</v>
      </c>
      <c r="K41" s="11">
        <f>Table1[[#This Row],[Percent Effort]]*$C$6</f>
        <v>1.2274</v>
      </c>
      <c r="L41" s="6">
        <f>Table1[[#This Row],[Percent Effort]]*$D$4</f>
        <v>19.760000000000002</v>
      </c>
      <c r="M41" s="6">
        <f>Table1[[#This Row],[Percent Effort]]*$D$5</f>
        <v>14.44</v>
      </c>
      <c r="N41" s="6">
        <f>Table1[[#This Row],[Percent Effort]]*$D$6</f>
        <v>5.32</v>
      </c>
      <c r="O41" s="6">
        <f>Table1[[#This Row],[Percent Effort]]*$E$4</f>
        <v>98.8</v>
      </c>
      <c r="P41" s="6">
        <f>Table1[[#This Row],[Percent Effort]]*$E$5</f>
        <v>72.2</v>
      </c>
      <c r="Q41" s="6">
        <f>Table1[[#This Row],[Percent Effort]]*$E$6</f>
        <v>26.6</v>
      </c>
      <c r="R41" s="6">
        <f>Table1[[#This Row],[Percent Effort]]*$F$4</f>
        <v>790.4</v>
      </c>
      <c r="S41" s="6">
        <f>Table1[[#This Row],[Percent Effort]]*$F$5</f>
        <v>577.6</v>
      </c>
      <c r="T41" s="6">
        <f>Table1[[#This Row],[Percent Effort]]*$F$6</f>
        <v>212.8</v>
      </c>
    </row>
    <row r="42" spans="8:20" x14ac:dyDescent="0.2">
      <c r="H42" s="2">
        <v>0.39</v>
      </c>
      <c r="I42" s="11">
        <f>Table1[[#This Row],[Percent Effort]]*$C$4</f>
        <v>4.68</v>
      </c>
      <c r="J42" s="11">
        <f>Table1[[#This Row],[Percent Effort]]*$C$5</f>
        <v>3.4203000000000001</v>
      </c>
      <c r="K42" s="11">
        <f>Table1[[#This Row],[Percent Effort]]*$C$6</f>
        <v>1.2597</v>
      </c>
      <c r="L42" s="6">
        <f>Table1[[#This Row],[Percent Effort]]*$D$4</f>
        <v>20.28</v>
      </c>
      <c r="M42" s="6">
        <f>Table1[[#This Row],[Percent Effort]]*$D$5</f>
        <v>14.82</v>
      </c>
      <c r="N42" s="6">
        <f>Table1[[#This Row],[Percent Effort]]*$D$6</f>
        <v>5.46</v>
      </c>
      <c r="O42" s="6">
        <f>Table1[[#This Row],[Percent Effort]]*$E$4</f>
        <v>101.4</v>
      </c>
      <c r="P42" s="6">
        <f>Table1[[#This Row],[Percent Effort]]*$E$5</f>
        <v>74.100000000000009</v>
      </c>
      <c r="Q42" s="6">
        <f>Table1[[#This Row],[Percent Effort]]*$E$6</f>
        <v>27.3</v>
      </c>
      <c r="R42" s="6">
        <f>Table1[[#This Row],[Percent Effort]]*$F$4</f>
        <v>811.2</v>
      </c>
      <c r="S42" s="6">
        <f>Table1[[#This Row],[Percent Effort]]*$F$5</f>
        <v>592.80000000000007</v>
      </c>
      <c r="T42" s="6">
        <f>Table1[[#This Row],[Percent Effort]]*$F$6</f>
        <v>218.4</v>
      </c>
    </row>
    <row r="43" spans="8:20" x14ac:dyDescent="0.2">
      <c r="H43" s="2">
        <v>0.4</v>
      </c>
      <c r="I43" s="11">
        <f>Table1[[#This Row],[Percent Effort]]*$C$4</f>
        <v>4.8000000000000007</v>
      </c>
      <c r="J43" s="11">
        <f>Table1[[#This Row],[Percent Effort]]*$C$5</f>
        <v>3.508</v>
      </c>
      <c r="K43" s="11">
        <f>Table1[[#This Row],[Percent Effort]]*$C$6</f>
        <v>1.292</v>
      </c>
      <c r="L43" s="6">
        <f>Table1[[#This Row],[Percent Effort]]*$D$4</f>
        <v>20.8</v>
      </c>
      <c r="M43" s="6">
        <f>Table1[[#This Row],[Percent Effort]]*$D$5</f>
        <v>15.200000000000001</v>
      </c>
      <c r="N43" s="6">
        <f>Table1[[#This Row],[Percent Effort]]*$D$6</f>
        <v>5.6000000000000005</v>
      </c>
      <c r="O43" s="6">
        <f>Table1[[#This Row],[Percent Effort]]*$E$4</f>
        <v>104</v>
      </c>
      <c r="P43" s="6">
        <f>Table1[[#This Row],[Percent Effort]]*$E$5</f>
        <v>76</v>
      </c>
      <c r="Q43" s="6">
        <f>Table1[[#This Row],[Percent Effort]]*$E$6</f>
        <v>28</v>
      </c>
      <c r="R43" s="6">
        <f>Table1[[#This Row],[Percent Effort]]*$F$4</f>
        <v>832</v>
      </c>
      <c r="S43" s="6">
        <f>Table1[[#This Row],[Percent Effort]]*$F$5</f>
        <v>608</v>
      </c>
      <c r="T43" s="6">
        <f>Table1[[#This Row],[Percent Effort]]*$F$6</f>
        <v>224</v>
      </c>
    </row>
    <row r="44" spans="8:20" x14ac:dyDescent="0.2">
      <c r="H44" s="2">
        <v>0.41</v>
      </c>
      <c r="I44" s="11">
        <f>Table1[[#This Row],[Percent Effort]]*$C$4</f>
        <v>4.92</v>
      </c>
      <c r="J44" s="11">
        <f>Table1[[#This Row],[Percent Effort]]*$C$5</f>
        <v>3.5956999999999995</v>
      </c>
      <c r="K44" s="11">
        <f>Table1[[#This Row],[Percent Effort]]*$C$6</f>
        <v>1.3242999999999998</v>
      </c>
      <c r="L44" s="6">
        <f>Table1[[#This Row],[Percent Effort]]*$D$4</f>
        <v>21.32</v>
      </c>
      <c r="M44" s="6">
        <f>Table1[[#This Row],[Percent Effort]]*$D$5</f>
        <v>15.579999999999998</v>
      </c>
      <c r="N44" s="6">
        <f>Table1[[#This Row],[Percent Effort]]*$D$6</f>
        <v>5.7399999999999993</v>
      </c>
      <c r="O44" s="6">
        <f>Table1[[#This Row],[Percent Effort]]*$E$4</f>
        <v>106.6</v>
      </c>
      <c r="P44" s="6">
        <f>Table1[[#This Row],[Percent Effort]]*$E$5</f>
        <v>77.899999999999991</v>
      </c>
      <c r="Q44" s="6">
        <f>Table1[[#This Row],[Percent Effort]]*$E$6</f>
        <v>28.7</v>
      </c>
      <c r="R44" s="6">
        <f>Table1[[#This Row],[Percent Effort]]*$F$4</f>
        <v>852.8</v>
      </c>
      <c r="S44" s="6">
        <f>Table1[[#This Row],[Percent Effort]]*$F$5</f>
        <v>623.19999999999993</v>
      </c>
      <c r="T44" s="6">
        <f>Table1[[#This Row],[Percent Effort]]*$F$6</f>
        <v>229.6</v>
      </c>
    </row>
    <row r="45" spans="8:20" x14ac:dyDescent="0.2">
      <c r="H45" s="2">
        <v>0.42</v>
      </c>
      <c r="I45" s="11">
        <f>Table1[[#This Row],[Percent Effort]]*$C$4</f>
        <v>5.04</v>
      </c>
      <c r="J45" s="11">
        <f>Table1[[#This Row],[Percent Effort]]*$C$5</f>
        <v>3.6833999999999998</v>
      </c>
      <c r="K45" s="11">
        <f>Table1[[#This Row],[Percent Effort]]*$C$6</f>
        <v>1.3566</v>
      </c>
      <c r="L45" s="6">
        <f>Table1[[#This Row],[Percent Effort]]*$D$4</f>
        <v>21.84</v>
      </c>
      <c r="M45" s="6">
        <f>Table1[[#This Row],[Percent Effort]]*$D$5</f>
        <v>15.959999999999999</v>
      </c>
      <c r="N45" s="6">
        <f>Table1[[#This Row],[Percent Effort]]*$D$6</f>
        <v>5.88</v>
      </c>
      <c r="O45" s="6">
        <f>Table1[[#This Row],[Percent Effort]]*$E$4</f>
        <v>109.2</v>
      </c>
      <c r="P45" s="6">
        <f>Table1[[#This Row],[Percent Effort]]*$E$5</f>
        <v>79.8</v>
      </c>
      <c r="Q45" s="6">
        <f>Table1[[#This Row],[Percent Effort]]*$E$6</f>
        <v>29.4</v>
      </c>
      <c r="R45" s="6">
        <f>Table1[[#This Row],[Percent Effort]]*$F$4</f>
        <v>873.6</v>
      </c>
      <c r="S45" s="6">
        <f>Table1[[#This Row],[Percent Effort]]*$F$5</f>
        <v>638.4</v>
      </c>
      <c r="T45" s="6">
        <f>Table1[[#This Row],[Percent Effort]]*$F$6</f>
        <v>235.2</v>
      </c>
    </row>
    <row r="46" spans="8:20" x14ac:dyDescent="0.2">
      <c r="H46" s="2">
        <v>0.43</v>
      </c>
      <c r="I46" s="11">
        <f>Table1[[#This Row],[Percent Effort]]*$C$4</f>
        <v>5.16</v>
      </c>
      <c r="J46" s="11">
        <f>Table1[[#This Row],[Percent Effort]]*$C$5</f>
        <v>3.7710999999999997</v>
      </c>
      <c r="K46" s="11">
        <f>Table1[[#This Row],[Percent Effort]]*$C$6</f>
        <v>1.3889</v>
      </c>
      <c r="L46" s="6">
        <f>Table1[[#This Row],[Percent Effort]]*$D$4</f>
        <v>22.36</v>
      </c>
      <c r="M46" s="6">
        <f>Table1[[#This Row],[Percent Effort]]*$D$5</f>
        <v>16.34</v>
      </c>
      <c r="N46" s="6">
        <f>Table1[[#This Row],[Percent Effort]]*$D$6</f>
        <v>6.02</v>
      </c>
      <c r="O46" s="6">
        <f>Table1[[#This Row],[Percent Effort]]*$E$4</f>
        <v>111.8</v>
      </c>
      <c r="P46" s="6">
        <f>Table1[[#This Row],[Percent Effort]]*$E$5</f>
        <v>81.7</v>
      </c>
      <c r="Q46" s="6">
        <f>Table1[[#This Row],[Percent Effort]]*$E$6</f>
        <v>30.099999999999998</v>
      </c>
      <c r="R46" s="6">
        <f>Table1[[#This Row],[Percent Effort]]*$F$4</f>
        <v>894.4</v>
      </c>
      <c r="S46" s="6">
        <f>Table1[[#This Row],[Percent Effort]]*$F$5</f>
        <v>653.6</v>
      </c>
      <c r="T46" s="6">
        <f>Table1[[#This Row],[Percent Effort]]*$F$6</f>
        <v>240.79999999999998</v>
      </c>
    </row>
    <row r="47" spans="8:20" x14ac:dyDescent="0.2">
      <c r="H47" s="2">
        <v>0.44</v>
      </c>
      <c r="I47" s="11">
        <f>Table1[[#This Row],[Percent Effort]]*$C$4</f>
        <v>5.28</v>
      </c>
      <c r="J47" s="11">
        <f>Table1[[#This Row],[Percent Effort]]*$C$5</f>
        <v>3.8588</v>
      </c>
      <c r="K47" s="11">
        <f>Table1[[#This Row],[Percent Effort]]*$C$6</f>
        <v>1.4212</v>
      </c>
      <c r="L47" s="6">
        <f>Table1[[#This Row],[Percent Effort]]*$D$4</f>
        <v>22.88</v>
      </c>
      <c r="M47" s="6">
        <f>Table1[[#This Row],[Percent Effort]]*$D$5</f>
        <v>16.72</v>
      </c>
      <c r="N47" s="6">
        <f>Table1[[#This Row],[Percent Effort]]*$D$6</f>
        <v>6.16</v>
      </c>
      <c r="O47" s="6">
        <f>Table1[[#This Row],[Percent Effort]]*$E$4</f>
        <v>114.4</v>
      </c>
      <c r="P47" s="6">
        <f>Table1[[#This Row],[Percent Effort]]*$E$5</f>
        <v>83.6</v>
      </c>
      <c r="Q47" s="6">
        <f>Table1[[#This Row],[Percent Effort]]*$E$6</f>
        <v>30.8</v>
      </c>
      <c r="R47" s="6">
        <f>Table1[[#This Row],[Percent Effort]]*$F$4</f>
        <v>915.2</v>
      </c>
      <c r="S47" s="6">
        <f>Table1[[#This Row],[Percent Effort]]*$F$5</f>
        <v>668.8</v>
      </c>
      <c r="T47" s="6">
        <f>Table1[[#This Row],[Percent Effort]]*$F$6</f>
        <v>246.4</v>
      </c>
    </row>
    <row r="48" spans="8:20" x14ac:dyDescent="0.2">
      <c r="H48" s="2">
        <v>0.45</v>
      </c>
      <c r="I48" s="11">
        <f>Table1[[#This Row],[Percent Effort]]*$C$4</f>
        <v>5.4</v>
      </c>
      <c r="J48" s="11">
        <f>Table1[[#This Row],[Percent Effort]]*$C$5</f>
        <v>3.9464999999999999</v>
      </c>
      <c r="K48" s="11">
        <f>Table1[[#This Row],[Percent Effort]]*$C$6</f>
        <v>1.4535</v>
      </c>
      <c r="L48" s="6">
        <f>Table1[[#This Row],[Percent Effort]]*$D$4</f>
        <v>23.400000000000002</v>
      </c>
      <c r="M48" s="6">
        <f>Table1[[#This Row],[Percent Effort]]*$D$5</f>
        <v>17.100000000000001</v>
      </c>
      <c r="N48" s="6">
        <f>Table1[[#This Row],[Percent Effort]]*$D$6</f>
        <v>6.3</v>
      </c>
      <c r="O48" s="6">
        <f>Table1[[#This Row],[Percent Effort]]*$E$4</f>
        <v>117</v>
      </c>
      <c r="P48" s="6">
        <f>Table1[[#This Row],[Percent Effort]]*$E$5</f>
        <v>85.5</v>
      </c>
      <c r="Q48" s="6">
        <f>Table1[[#This Row],[Percent Effort]]*$E$6</f>
        <v>31.5</v>
      </c>
      <c r="R48" s="6">
        <f>Table1[[#This Row],[Percent Effort]]*$F$4</f>
        <v>936</v>
      </c>
      <c r="S48" s="6">
        <f>Table1[[#This Row],[Percent Effort]]*$F$5</f>
        <v>684</v>
      </c>
      <c r="T48" s="6">
        <f>Table1[[#This Row],[Percent Effort]]*$F$6</f>
        <v>252</v>
      </c>
    </row>
    <row r="49" spans="8:20" x14ac:dyDescent="0.2">
      <c r="H49" s="2">
        <v>0.46</v>
      </c>
      <c r="I49" s="11">
        <f>Table1[[#This Row],[Percent Effort]]*$C$4</f>
        <v>5.5200000000000005</v>
      </c>
      <c r="J49" s="11">
        <f>Table1[[#This Row],[Percent Effort]]*$C$5</f>
        <v>4.0342000000000002</v>
      </c>
      <c r="K49" s="11">
        <f>Table1[[#This Row],[Percent Effort]]*$C$6</f>
        <v>1.4858</v>
      </c>
      <c r="L49" s="6">
        <f>Table1[[#This Row],[Percent Effort]]*$D$4</f>
        <v>23.92</v>
      </c>
      <c r="M49" s="6">
        <f>Table1[[#This Row],[Percent Effort]]*$D$5</f>
        <v>17.48</v>
      </c>
      <c r="N49" s="6">
        <f>Table1[[#This Row],[Percent Effort]]*$D$6</f>
        <v>6.44</v>
      </c>
      <c r="O49" s="6">
        <f>Table1[[#This Row],[Percent Effort]]*$E$4</f>
        <v>119.60000000000001</v>
      </c>
      <c r="P49" s="6">
        <f>Table1[[#This Row],[Percent Effort]]*$E$5</f>
        <v>87.4</v>
      </c>
      <c r="Q49" s="6">
        <f>Table1[[#This Row],[Percent Effort]]*$E$6</f>
        <v>32.200000000000003</v>
      </c>
      <c r="R49" s="6">
        <f>Table1[[#This Row],[Percent Effort]]*$F$4</f>
        <v>956.80000000000007</v>
      </c>
      <c r="S49" s="6">
        <f>Table1[[#This Row],[Percent Effort]]*$F$5</f>
        <v>699.2</v>
      </c>
      <c r="T49" s="6">
        <f>Table1[[#This Row],[Percent Effort]]*$F$6</f>
        <v>257.60000000000002</v>
      </c>
    </row>
    <row r="50" spans="8:20" x14ac:dyDescent="0.2">
      <c r="H50" s="2">
        <v>0.47</v>
      </c>
      <c r="I50" s="11">
        <f>Table1[[#This Row],[Percent Effort]]*$C$4</f>
        <v>5.64</v>
      </c>
      <c r="J50" s="11">
        <f>Table1[[#This Row],[Percent Effort]]*$C$5</f>
        <v>4.1218999999999992</v>
      </c>
      <c r="K50" s="11">
        <f>Table1[[#This Row],[Percent Effort]]*$C$6</f>
        <v>1.5181</v>
      </c>
      <c r="L50" s="6">
        <f>Table1[[#This Row],[Percent Effort]]*$D$4</f>
        <v>24.439999999999998</v>
      </c>
      <c r="M50" s="6">
        <f>Table1[[#This Row],[Percent Effort]]*$D$5</f>
        <v>17.86</v>
      </c>
      <c r="N50" s="6">
        <f>Table1[[#This Row],[Percent Effort]]*$D$6</f>
        <v>6.58</v>
      </c>
      <c r="O50" s="6">
        <f>Table1[[#This Row],[Percent Effort]]*$E$4</f>
        <v>122.19999999999999</v>
      </c>
      <c r="P50" s="6">
        <f>Table1[[#This Row],[Percent Effort]]*$E$5</f>
        <v>89.3</v>
      </c>
      <c r="Q50" s="6">
        <f>Table1[[#This Row],[Percent Effort]]*$E$6</f>
        <v>32.9</v>
      </c>
      <c r="R50" s="6">
        <f>Table1[[#This Row],[Percent Effort]]*$F$4</f>
        <v>977.59999999999991</v>
      </c>
      <c r="S50" s="6">
        <f>Table1[[#This Row],[Percent Effort]]*$F$5</f>
        <v>714.4</v>
      </c>
      <c r="T50" s="6">
        <f>Table1[[#This Row],[Percent Effort]]*$F$6</f>
        <v>263.2</v>
      </c>
    </row>
    <row r="51" spans="8:20" x14ac:dyDescent="0.2">
      <c r="H51" s="2">
        <v>0.48</v>
      </c>
      <c r="I51" s="11">
        <f>Table1[[#This Row],[Percent Effort]]*$C$4</f>
        <v>5.76</v>
      </c>
      <c r="J51" s="11">
        <f>Table1[[#This Row],[Percent Effort]]*$C$5</f>
        <v>4.2096</v>
      </c>
      <c r="K51" s="11">
        <f>Table1[[#This Row],[Percent Effort]]*$C$6</f>
        <v>1.5504</v>
      </c>
      <c r="L51" s="6">
        <f>Table1[[#This Row],[Percent Effort]]*$D$4</f>
        <v>24.96</v>
      </c>
      <c r="M51" s="6">
        <f>Table1[[#This Row],[Percent Effort]]*$D$5</f>
        <v>18.239999999999998</v>
      </c>
      <c r="N51" s="6">
        <f>Table1[[#This Row],[Percent Effort]]*$D$6</f>
        <v>6.72</v>
      </c>
      <c r="O51" s="6">
        <f>Table1[[#This Row],[Percent Effort]]*$E$4</f>
        <v>124.8</v>
      </c>
      <c r="P51" s="6">
        <f>Table1[[#This Row],[Percent Effort]]*$E$5</f>
        <v>91.2</v>
      </c>
      <c r="Q51" s="6">
        <f>Table1[[#This Row],[Percent Effort]]*$E$6</f>
        <v>33.6</v>
      </c>
      <c r="R51" s="6">
        <f>Table1[[#This Row],[Percent Effort]]*$F$4</f>
        <v>998.4</v>
      </c>
      <c r="S51" s="6">
        <f>Table1[[#This Row],[Percent Effort]]*$F$5</f>
        <v>729.6</v>
      </c>
      <c r="T51" s="6">
        <f>Table1[[#This Row],[Percent Effort]]*$F$6</f>
        <v>268.8</v>
      </c>
    </row>
    <row r="52" spans="8:20" x14ac:dyDescent="0.2">
      <c r="H52" s="2">
        <v>0.49</v>
      </c>
      <c r="I52" s="11">
        <f>Table1[[#This Row],[Percent Effort]]*$C$4</f>
        <v>5.88</v>
      </c>
      <c r="J52" s="11">
        <f>Table1[[#This Row],[Percent Effort]]*$C$5</f>
        <v>4.2972999999999999</v>
      </c>
      <c r="K52" s="11">
        <f>Table1[[#This Row],[Percent Effort]]*$C$6</f>
        <v>1.5827</v>
      </c>
      <c r="L52" s="6">
        <f>Table1[[#This Row],[Percent Effort]]*$D$4</f>
        <v>25.48</v>
      </c>
      <c r="M52" s="6">
        <f>Table1[[#This Row],[Percent Effort]]*$D$5</f>
        <v>18.62</v>
      </c>
      <c r="N52" s="6">
        <f>Table1[[#This Row],[Percent Effort]]*$D$6</f>
        <v>6.8599999999999994</v>
      </c>
      <c r="O52" s="6">
        <f>Table1[[#This Row],[Percent Effort]]*$E$4</f>
        <v>127.39999999999999</v>
      </c>
      <c r="P52" s="6">
        <f>Table1[[#This Row],[Percent Effort]]*$E$5</f>
        <v>93.1</v>
      </c>
      <c r="Q52" s="6">
        <f>Table1[[#This Row],[Percent Effort]]*$E$6</f>
        <v>34.299999999999997</v>
      </c>
      <c r="R52" s="6">
        <f>Table1[[#This Row],[Percent Effort]]*$F$4</f>
        <v>1019.1999999999999</v>
      </c>
      <c r="S52" s="6">
        <f>Table1[[#This Row],[Percent Effort]]*$F$5</f>
        <v>744.8</v>
      </c>
      <c r="T52" s="6">
        <f>Table1[[#This Row],[Percent Effort]]*$F$6</f>
        <v>274.39999999999998</v>
      </c>
    </row>
    <row r="53" spans="8:20" x14ac:dyDescent="0.2">
      <c r="H53" s="2">
        <v>0.5</v>
      </c>
      <c r="I53" s="11">
        <f>Table1[[#This Row],[Percent Effort]]*$C$4</f>
        <v>6</v>
      </c>
      <c r="J53" s="11">
        <f>Table1[[#This Row],[Percent Effort]]*$C$5</f>
        <v>4.3849999999999998</v>
      </c>
      <c r="K53" s="11">
        <f>Table1[[#This Row],[Percent Effort]]*$C$6</f>
        <v>1.615</v>
      </c>
      <c r="L53" s="6">
        <f>Table1[[#This Row],[Percent Effort]]*$D$4</f>
        <v>26</v>
      </c>
      <c r="M53" s="6">
        <f>Table1[[#This Row],[Percent Effort]]*$D$5</f>
        <v>19</v>
      </c>
      <c r="N53" s="6">
        <f>Table1[[#This Row],[Percent Effort]]*$D$6</f>
        <v>7</v>
      </c>
      <c r="O53" s="6">
        <f>Table1[[#This Row],[Percent Effort]]*$E$4</f>
        <v>130</v>
      </c>
      <c r="P53" s="6">
        <f>Table1[[#This Row],[Percent Effort]]*$E$5</f>
        <v>95</v>
      </c>
      <c r="Q53" s="6">
        <f>Table1[[#This Row],[Percent Effort]]*$E$6</f>
        <v>35</v>
      </c>
      <c r="R53" s="6">
        <f>Table1[[#This Row],[Percent Effort]]*$F$4</f>
        <v>1040</v>
      </c>
      <c r="S53" s="6">
        <f>Table1[[#This Row],[Percent Effort]]*$F$5</f>
        <v>760</v>
      </c>
      <c r="T53" s="6">
        <f>Table1[[#This Row],[Percent Effort]]*$F$6</f>
        <v>280</v>
      </c>
    </row>
    <row r="54" spans="8:20" x14ac:dyDescent="0.2">
      <c r="H54" s="2">
        <v>0.51</v>
      </c>
      <c r="I54" s="11">
        <f>Table1[[#This Row],[Percent Effort]]*$C$4</f>
        <v>6.12</v>
      </c>
      <c r="J54" s="11">
        <f>Table1[[#This Row],[Percent Effort]]*$C$5</f>
        <v>4.4726999999999997</v>
      </c>
      <c r="K54" s="11">
        <f>Table1[[#This Row],[Percent Effort]]*$C$6</f>
        <v>1.6473</v>
      </c>
      <c r="L54" s="6">
        <f>Table1[[#This Row],[Percent Effort]]*$D$4</f>
        <v>26.52</v>
      </c>
      <c r="M54" s="6">
        <f>Table1[[#This Row],[Percent Effort]]*$D$5</f>
        <v>19.38</v>
      </c>
      <c r="N54" s="6">
        <f>Table1[[#This Row],[Percent Effort]]*$D$6</f>
        <v>7.1400000000000006</v>
      </c>
      <c r="O54" s="6">
        <f>Table1[[#This Row],[Percent Effort]]*$E$4</f>
        <v>132.6</v>
      </c>
      <c r="P54" s="6">
        <f>Table1[[#This Row],[Percent Effort]]*$E$5</f>
        <v>96.9</v>
      </c>
      <c r="Q54" s="6">
        <f>Table1[[#This Row],[Percent Effort]]*$E$6</f>
        <v>35.700000000000003</v>
      </c>
      <c r="R54" s="6">
        <f>Table1[[#This Row],[Percent Effort]]*$F$4</f>
        <v>1060.8</v>
      </c>
      <c r="S54" s="6">
        <f>Table1[[#This Row],[Percent Effort]]*$F$5</f>
        <v>775.2</v>
      </c>
      <c r="T54" s="6">
        <f>Table1[[#This Row],[Percent Effort]]*$F$6</f>
        <v>285.60000000000002</v>
      </c>
    </row>
    <row r="55" spans="8:20" x14ac:dyDescent="0.2">
      <c r="H55" s="2">
        <v>0.52</v>
      </c>
      <c r="I55" s="11">
        <f>Table1[[#This Row],[Percent Effort]]*$C$4</f>
        <v>6.24</v>
      </c>
      <c r="J55" s="11">
        <f>Table1[[#This Row],[Percent Effort]]*$C$5</f>
        <v>4.5603999999999996</v>
      </c>
      <c r="K55" s="11">
        <f>Table1[[#This Row],[Percent Effort]]*$C$6</f>
        <v>1.6796</v>
      </c>
      <c r="L55" s="6">
        <f>Table1[[#This Row],[Percent Effort]]*$D$4</f>
        <v>27.04</v>
      </c>
      <c r="M55" s="6">
        <f>Table1[[#This Row],[Percent Effort]]*$D$5</f>
        <v>19.760000000000002</v>
      </c>
      <c r="N55" s="6">
        <f>Table1[[#This Row],[Percent Effort]]*$D$6</f>
        <v>7.28</v>
      </c>
      <c r="O55" s="6">
        <f>Table1[[#This Row],[Percent Effort]]*$E$4</f>
        <v>135.20000000000002</v>
      </c>
      <c r="P55" s="6">
        <f>Table1[[#This Row],[Percent Effort]]*$E$5</f>
        <v>98.8</v>
      </c>
      <c r="Q55" s="6">
        <f>Table1[[#This Row],[Percent Effort]]*$E$6</f>
        <v>36.4</v>
      </c>
      <c r="R55" s="6">
        <f>Table1[[#This Row],[Percent Effort]]*$F$4</f>
        <v>1081.6000000000001</v>
      </c>
      <c r="S55" s="6">
        <f>Table1[[#This Row],[Percent Effort]]*$F$5</f>
        <v>790.4</v>
      </c>
      <c r="T55" s="6">
        <f>Table1[[#This Row],[Percent Effort]]*$F$6</f>
        <v>291.2</v>
      </c>
    </row>
    <row r="56" spans="8:20" x14ac:dyDescent="0.2">
      <c r="H56" s="2">
        <v>0.53</v>
      </c>
      <c r="I56" s="11">
        <f>Table1[[#This Row],[Percent Effort]]*$C$4</f>
        <v>6.36</v>
      </c>
      <c r="J56" s="11">
        <f>Table1[[#This Row],[Percent Effort]]*$C$5</f>
        <v>4.6481000000000003</v>
      </c>
      <c r="K56" s="11">
        <f>Table1[[#This Row],[Percent Effort]]*$C$6</f>
        <v>1.7119</v>
      </c>
      <c r="L56" s="6">
        <f>Table1[[#This Row],[Percent Effort]]*$D$4</f>
        <v>27.560000000000002</v>
      </c>
      <c r="M56" s="6">
        <f>Table1[[#This Row],[Percent Effort]]*$D$5</f>
        <v>20.14</v>
      </c>
      <c r="N56" s="6">
        <f>Table1[[#This Row],[Percent Effort]]*$D$6</f>
        <v>7.42</v>
      </c>
      <c r="O56" s="6">
        <f>Table1[[#This Row],[Percent Effort]]*$E$4</f>
        <v>137.80000000000001</v>
      </c>
      <c r="P56" s="6">
        <f>Table1[[#This Row],[Percent Effort]]*$E$5</f>
        <v>100.7</v>
      </c>
      <c r="Q56" s="6">
        <f>Table1[[#This Row],[Percent Effort]]*$E$6</f>
        <v>37.1</v>
      </c>
      <c r="R56" s="6">
        <f>Table1[[#This Row],[Percent Effort]]*$F$4</f>
        <v>1102.4000000000001</v>
      </c>
      <c r="S56" s="6">
        <f>Table1[[#This Row],[Percent Effort]]*$F$5</f>
        <v>805.6</v>
      </c>
      <c r="T56" s="6">
        <f>Table1[[#This Row],[Percent Effort]]*$F$6</f>
        <v>296.8</v>
      </c>
    </row>
    <row r="57" spans="8:20" x14ac:dyDescent="0.2">
      <c r="H57" s="2">
        <v>0.54</v>
      </c>
      <c r="I57" s="11">
        <f>Table1[[#This Row],[Percent Effort]]*$C$4</f>
        <v>6.48</v>
      </c>
      <c r="J57" s="11">
        <f>Table1[[#This Row],[Percent Effort]]*$C$5</f>
        <v>4.7358000000000002</v>
      </c>
      <c r="K57" s="11">
        <f>Table1[[#This Row],[Percent Effort]]*$C$6</f>
        <v>1.7442000000000002</v>
      </c>
      <c r="L57" s="6">
        <f>Table1[[#This Row],[Percent Effort]]*$D$4</f>
        <v>28.080000000000002</v>
      </c>
      <c r="M57" s="6">
        <f>Table1[[#This Row],[Percent Effort]]*$D$5</f>
        <v>20.520000000000003</v>
      </c>
      <c r="N57" s="6">
        <f>Table1[[#This Row],[Percent Effort]]*$D$6</f>
        <v>7.5600000000000005</v>
      </c>
      <c r="O57" s="6">
        <f>Table1[[#This Row],[Percent Effort]]*$E$4</f>
        <v>140.4</v>
      </c>
      <c r="P57" s="6">
        <f>Table1[[#This Row],[Percent Effort]]*$E$5</f>
        <v>102.60000000000001</v>
      </c>
      <c r="Q57" s="6">
        <f>Table1[[#This Row],[Percent Effort]]*$E$6</f>
        <v>37.800000000000004</v>
      </c>
      <c r="R57" s="6">
        <f>Table1[[#This Row],[Percent Effort]]*$F$4</f>
        <v>1123.2</v>
      </c>
      <c r="S57" s="6">
        <f>Table1[[#This Row],[Percent Effort]]*$F$5</f>
        <v>820.80000000000007</v>
      </c>
      <c r="T57" s="6">
        <f>Table1[[#This Row],[Percent Effort]]*$F$6</f>
        <v>302.40000000000003</v>
      </c>
    </row>
    <row r="58" spans="8:20" x14ac:dyDescent="0.2">
      <c r="H58" s="2">
        <v>0.55000000000000004</v>
      </c>
      <c r="I58" s="11">
        <f>Table1[[#This Row],[Percent Effort]]*$C$4</f>
        <v>6.6000000000000005</v>
      </c>
      <c r="J58" s="11">
        <f>Table1[[#This Row],[Percent Effort]]*$C$5</f>
        <v>4.8235000000000001</v>
      </c>
      <c r="K58" s="11">
        <f>Table1[[#This Row],[Percent Effort]]*$C$6</f>
        <v>1.7765000000000002</v>
      </c>
      <c r="L58" s="6">
        <f>Table1[[#This Row],[Percent Effort]]*$D$4</f>
        <v>28.6</v>
      </c>
      <c r="M58" s="6">
        <f>Table1[[#This Row],[Percent Effort]]*$D$5</f>
        <v>20.900000000000002</v>
      </c>
      <c r="N58" s="6">
        <f>Table1[[#This Row],[Percent Effort]]*$D$6</f>
        <v>7.7000000000000011</v>
      </c>
      <c r="O58" s="6">
        <f>Table1[[#This Row],[Percent Effort]]*$E$4</f>
        <v>143</v>
      </c>
      <c r="P58" s="6">
        <f>Table1[[#This Row],[Percent Effort]]*$E$5</f>
        <v>104.50000000000001</v>
      </c>
      <c r="Q58" s="6">
        <f>Table1[[#This Row],[Percent Effort]]*$E$6</f>
        <v>38.5</v>
      </c>
      <c r="R58" s="6">
        <f>Table1[[#This Row],[Percent Effort]]*$F$4</f>
        <v>1144</v>
      </c>
      <c r="S58" s="6">
        <f>Table1[[#This Row],[Percent Effort]]*$F$5</f>
        <v>836.00000000000011</v>
      </c>
      <c r="T58" s="6">
        <f>Table1[[#This Row],[Percent Effort]]*$F$6</f>
        <v>308</v>
      </c>
    </row>
    <row r="59" spans="8:20" x14ac:dyDescent="0.2">
      <c r="H59" s="2">
        <v>0.56000000000000005</v>
      </c>
      <c r="I59" s="11">
        <f>Table1[[#This Row],[Percent Effort]]*$C$4</f>
        <v>6.7200000000000006</v>
      </c>
      <c r="J59" s="11">
        <f>Table1[[#This Row],[Percent Effort]]*$C$5</f>
        <v>4.9112</v>
      </c>
      <c r="K59" s="11">
        <f>Table1[[#This Row],[Percent Effort]]*$C$6</f>
        <v>1.8088000000000002</v>
      </c>
      <c r="L59" s="6">
        <f>Table1[[#This Row],[Percent Effort]]*$D$4</f>
        <v>29.120000000000005</v>
      </c>
      <c r="M59" s="6">
        <f>Table1[[#This Row],[Percent Effort]]*$D$5</f>
        <v>21.28</v>
      </c>
      <c r="N59" s="6">
        <f>Table1[[#This Row],[Percent Effort]]*$D$6</f>
        <v>7.8400000000000007</v>
      </c>
      <c r="O59" s="6">
        <f>Table1[[#This Row],[Percent Effort]]*$E$4</f>
        <v>145.60000000000002</v>
      </c>
      <c r="P59" s="6">
        <f>Table1[[#This Row],[Percent Effort]]*$E$5</f>
        <v>106.4</v>
      </c>
      <c r="Q59" s="6">
        <f>Table1[[#This Row],[Percent Effort]]*$E$6</f>
        <v>39.200000000000003</v>
      </c>
      <c r="R59" s="6">
        <f>Table1[[#This Row],[Percent Effort]]*$F$4</f>
        <v>1164.8000000000002</v>
      </c>
      <c r="S59" s="6">
        <f>Table1[[#This Row],[Percent Effort]]*$F$5</f>
        <v>851.2</v>
      </c>
      <c r="T59" s="6">
        <f>Table1[[#This Row],[Percent Effort]]*$F$6</f>
        <v>313.60000000000002</v>
      </c>
    </row>
    <row r="60" spans="8:20" x14ac:dyDescent="0.2">
      <c r="H60" s="2">
        <v>0.56999999999999995</v>
      </c>
      <c r="I60" s="11">
        <f>Table1[[#This Row],[Percent Effort]]*$C$4</f>
        <v>6.84</v>
      </c>
      <c r="J60" s="11">
        <f>Table1[[#This Row],[Percent Effort]]*$C$5</f>
        <v>4.998899999999999</v>
      </c>
      <c r="K60" s="11">
        <f>Table1[[#This Row],[Percent Effort]]*$C$6</f>
        <v>1.8410999999999997</v>
      </c>
      <c r="L60" s="6">
        <f>Table1[[#This Row],[Percent Effort]]*$D$4</f>
        <v>29.639999999999997</v>
      </c>
      <c r="M60" s="6">
        <f>Table1[[#This Row],[Percent Effort]]*$D$5</f>
        <v>21.659999999999997</v>
      </c>
      <c r="N60" s="6">
        <f>Table1[[#This Row],[Percent Effort]]*$D$6</f>
        <v>7.9799999999999995</v>
      </c>
      <c r="O60" s="6">
        <f>Table1[[#This Row],[Percent Effort]]*$E$4</f>
        <v>148.19999999999999</v>
      </c>
      <c r="P60" s="6">
        <f>Table1[[#This Row],[Percent Effort]]*$E$5</f>
        <v>108.3</v>
      </c>
      <c r="Q60" s="6">
        <f>Table1[[#This Row],[Percent Effort]]*$E$6</f>
        <v>39.9</v>
      </c>
      <c r="R60" s="6">
        <f>Table1[[#This Row],[Percent Effort]]*$F$4</f>
        <v>1185.5999999999999</v>
      </c>
      <c r="S60" s="6">
        <f>Table1[[#This Row],[Percent Effort]]*$F$5</f>
        <v>866.4</v>
      </c>
      <c r="T60" s="6">
        <f>Table1[[#This Row],[Percent Effort]]*$F$6</f>
        <v>319.2</v>
      </c>
    </row>
    <row r="61" spans="8:20" x14ac:dyDescent="0.2">
      <c r="H61" s="2">
        <v>0.57999999999999996</v>
      </c>
      <c r="I61" s="11">
        <f>Table1[[#This Row],[Percent Effort]]*$C$4</f>
        <v>6.9599999999999991</v>
      </c>
      <c r="J61" s="11">
        <f>Table1[[#This Row],[Percent Effort]]*$C$5</f>
        <v>5.0865999999999998</v>
      </c>
      <c r="K61" s="11">
        <f>Table1[[#This Row],[Percent Effort]]*$C$6</f>
        <v>1.8734</v>
      </c>
      <c r="L61" s="6">
        <f>Table1[[#This Row],[Percent Effort]]*$D$4</f>
        <v>30.159999999999997</v>
      </c>
      <c r="M61" s="6">
        <f>Table1[[#This Row],[Percent Effort]]*$D$5</f>
        <v>22.04</v>
      </c>
      <c r="N61" s="6">
        <f>Table1[[#This Row],[Percent Effort]]*$D$6</f>
        <v>8.1199999999999992</v>
      </c>
      <c r="O61" s="6">
        <f>Table1[[#This Row],[Percent Effort]]*$E$4</f>
        <v>150.79999999999998</v>
      </c>
      <c r="P61" s="6">
        <f>Table1[[#This Row],[Percent Effort]]*$E$5</f>
        <v>110.19999999999999</v>
      </c>
      <c r="Q61" s="6">
        <f>Table1[[#This Row],[Percent Effort]]*$E$6</f>
        <v>40.599999999999994</v>
      </c>
      <c r="R61" s="6">
        <f>Table1[[#This Row],[Percent Effort]]*$F$4</f>
        <v>1206.3999999999999</v>
      </c>
      <c r="S61" s="6">
        <f>Table1[[#This Row],[Percent Effort]]*$F$5</f>
        <v>881.59999999999991</v>
      </c>
      <c r="T61" s="6">
        <f>Table1[[#This Row],[Percent Effort]]*$F$6</f>
        <v>324.79999999999995</v>
      </c>
    </row>
    <row r="62" spans="8:20" x14ac:dyDescent="0.2">
      <c r="H62" s="2">
        <v>0.59</v>
      </c>
      <c r="I62" s="11">
        <f>Table1[[#This Row],[Percent Effort]]*$C$4</f>
        <v>7.08</v>
      </c>
      <c r="J62" s="11">
        <f>Table1[[#This Row],[Percent Effort]]*$C$5</f>
        <v>5.1742999999999997</v>
      </c>
      <c r="K62" s="11">
        <f>Table1[[#This Row],[Percent Effort]]*$C$6</f>
        <v>1.9056999999999999</v>
      </c>
      <c r="L62" s="6">
        <f>Table1[[#This Row],[Percent Effort]]*$D$4</f>
        <v>30.68</v>
      </c>
      <c r="M62" s="6">
        <f>Table1[[#This Row],[Percent Effort]]*$D$5</f>
        <v>22.419999999999998</v>
      </c>
      <c r="N62" s="6">
        <f>Table1[[#This Row],[Percent Effort]]*$D$6</f>
        <v>8.26</v>
      </c>
      <c r="O62" s="6">
        <f>Table1[[#This Row],[Percent Effort]]*$E$4</f>
        <v>153.4</v>
      </c>
      <c r="P62" s="6">
        <f>Table1[[#This Row],[Percent Effort]]*$E$5</f>
        <v>112.1</v>
      </c>
      <c r="Q62" s="6">
        <f>Table1[[#This Row],[Percent Effort]]*$E$6</f>
        <v>41.3</v>
      </c>
      <c r="R62" s="6">
        <f>Table1[[#This Row],[Percent Effort]]*$F$4</f>
        <v>1227.2</v>
      </c>
      <c r="S62" s="6">
        <f>Table1[[#This Row],[Percent Effort]]*$F$5</f>
        <v>896.8</v>
      </c>
      <c r="T62" s="6">
        <f>Table1[[#This Row],[Percent Effort]]*$F$6</f>
        <v>330.4</v>
      </c>
    </row>
    <row r="63" spans="8:20" x14ac:dyDescent="0.2">
      <c r="H63" s="2">
        <v>0.6</v>
      </c>
      <c r="I63" s="11">
        <f>Table1[[#This Row],[Percent Effort]]*$C$4</f>
        <v>7.1999999999999993</v>
      </c>
      <c r="J63" s="11">
        <f>Table1[[#This Row],[Percent Effort]]*$C$5</f>
        <v>5.2619999999999996</v>
      </c>
      <c r="K63" s="11">
        <f>Table1[[#This Row],[Percent Effort]]*$C$6</f>
        <v>1.9379999999999999</v>
      </c>
      <c r="L63" s="6">
        <f>Table1[[#This Row],[Percent Effort]]*$D$4</f>
        <v>31.2</v>
      </c>
      <c r="M63" s="6">
        <f>Table1[[#This Row],[Percent Effort]]*$D$5</f>
        <v>22.8</v>
      </c>
      <c r="N63" s="6">
        <f>Table1[[#This Row],[Percent Effort]]*$D$6</f>
        <v>8.4</v>
      </c>
      <c r="O63" s="6">
        <f>Table1[[#This Row],[Percent Effort]]*$E$4</f>
        <v>156</v>
      </c>
      <c r="P63" s="6">
        <f>Table1[[#This Row],[Percent Effort]]*$E$5</f>
        <v>114</v>
      </c>
      <c r="Q63" s="6">
        <f>Table1[[#This Row],[Percent Effort]]*$E$6</f>
        <v>42</v>
      </c>
      <c r="R63" s="6">
        <f>Table1[[#This Row],[Percent Effort]]*$F$4</f>
        <v>1248</v>
      </c>
      <c r="S63" s="6">
        <f>Table1[[#This Row],[Percent Effort]]*$F$5</f>
        <v>912</v>
      </c>
      <c r="T63" s="6">
        <f>Table1[[#This Row],[Percent Effort]]*$F$6</f>
        <v>336</v>
      </c>
    </row>
    <row r="64" spans="8:20" x14ac:dyDescent="0.2">
      <c r="H64" s="2">
        <v>0.61</v>
      </c>
      <c r="I64" s="11">
        <f>Table1[[#This Row],[Percent Effort]]*$C$4</f>
        <v>7.32</v>
      </c>
      <c r="J64" s="11">
        <f>Table1[[#This Row],[Percent Effort]]*$C$5</f>
        <v>5.3496999999999995</v>
      </c>
      <c r="K64" s="11">
        <f>Table1[[#This Row],[Percent Effort]]*$C$6</f>
        <v>1.9702999999999999</v>
      </c>
      <c r="L64" s="6">
        <f>Table1[[#This Row],[Percent Effort]]*$D$4</f>
        <v>31.72</v>
      </c>
      <c r="M64" s="6">
        <f>Table1[[#This Row],[Percent Effort]]*$D$5</f>
        <v>23.18</v>
      </c>
      <c r="N64" s="6">
        <f>Table1[[#This Row],[Percent Effort]]*$D$6</f>
        <v>8.5399999999999991</v>
      </c>
      <c r="O64" s="6">
        <f>Table1[[#This Row],[Percent Effort]]*$E$4</f>
        <v>158.6</v>
      </c>
      <c r="P64" s="6">
        <f>Table1[[#This Row],[Percent Effort]]*$E$5</f>
        <v>115.89999999999999</v>
      </c>
      <c r="Q64" s="6">
        <f>Table1[[#This Row],[Percent Effort]]*$E$6</f>
        <v>42.699999999999996</v>
      </c>
      <c r="R64" s="6">
        <f>Table1[[#This Row],[Percent Effort]]*$F$4</f>
        <v>1268.8</v>
      </c>
      <c r="S64" s="6">
        <f>Table1[[#This Row],[Percent Effort]]*$F$5</f>
        <v>927.19999999999993</v>
      </c>
      <c r="T64" s="6">
        <f>Table1[[#This Row],[Percent Effort]]*$F$6</f>
        <v>341.59999999999997</v>
      </c>
    </row>
    <row r="65" spans="8:20" x14ac:dyDescent="0.2">
      <c r="H65" s="2">
        <v>0.62</v>
      </c>
      <c r="I65" s="11">
        <f>Table1[[#This Row],[Percent Effort]]*$C$4</f>
        <v>7.4399999999999995</v>
      </c>
      <c r="J65" s="11">
        <f>Table1[[#This Row],[Percent Effort]]*$C$5</f>
        <v>5.4373999999999993</v>
      </c>
      <c r="K65" s="11">
        <f>Table1[[#This Row],[Percent Effort]]*$C$6</f>
        <v>2.0026000000000002</v>
      </c>
      <c r="L65" s="6">
        <f>Table1[[#This Row],[Percent Effort]]*$D$4</f>
        <v>32.24</v>
      </c>
      <c r="M65" s="6">
        <f>Table1[[#This Row],[Percent Effort]]*$D$5</f>
        <v>23.56</v>
      </c>
      <c r="N65" s="6">
        <f>Table1[[#This Row],[Percent Effort]]*$D$6</f>
        <v>8.68</v>
      </c>
      <c r="O65" s="6">
        <f>Table1[[#This Row],[Percent Effort]]*$E$4</f>
        <v>161.19999999999999</v>
      </c>
      <c r="P65" s="6">
        <f>Table1[[#This Row],[Percent Effort]]*$E$5</f>
        <v>117.8</v>
      </c>
      <c r="Q65" s="6">
        <f>Table1[[#This Row],[Percent Effort]]*$E$6</f>
        <v>43.4</v>
      </c>
      <c r="R65" s="6">
        <f>Table1[[#This Row],[Percent Effort]]*$F$4</f>
        <v>1289.5999999999999</v>
      </c>
      <c r="S65" s="6">
        <f>Table1[[#This Row],[Percent Effort]]*$F$5</f>
        <v>942.4</v>
      </c>
      <c r="T65" s="6">
        <f>Table1[[#This Row],[Percent Effort]]*$F$6</f>
        <v>347.2</v>
      </c>
    </row>
    <row r="66" spans="8:20" x14ac:dyDescent="0.2">
      <c r="H66" s="2">
        <v>0.63</v>
      </c>
      <c r="I66" s="11">
        <f>Table1[[#This Row],[Percent Effort]]*$C$4</f>
        <v>7.5600000000000005</v>
      </c>
      <c r="J66" s="11">
        <f>Table1[[#This Row],[Percent Effort]]*$C$5</f>
        <v>5.5251000000000001</v>
      </c>
      <c r="K66" s="11">
        <f>Table1[[#This Row],[Percent Effort]]*$C$6</f>
        <v>2.0348999999999999</v>
      </c>
      <c r="L66" s="6">
        <f>Table1[[#This Row],[Percent Effort]]*$D$4</f>
        <v>32.76</v>
      </c>
      <c r="M66" s="6">
        <f>Table1[[#This Row],[Percent Effort]]*$D$5</f>
        <v>23.94</v>
      </c>
      <c r="N66" s="6">
        <f>Table1[[#This Row],[Percent Effort]]*$D$6</f>
        <v>8.82</v>
      </c>
      <c r="O66" s="6">
        <f>Table1[[#This Row],[Percent Effort]]*$E$4</f>
        <v>163.80000000000001</v>
      </c>
      <c r="P66" s="6">
        <f>Table1[[#This Row],[Percent Effort]]*$E$5</f>
        <v>119.7</v>
      </c>
      <c r="Q66" s="6">
        <f>Table1[[#This Row],[Percent Effort]]*$E$6</f>
        <v>44.1</v>
      </c>
      <c r="R66" s="6">
        <f>Table1[[#This Row],[Percent Effort]]*$F$4</f>
        <v>1310.4000000000001</v>
      </c>
      <c r="S66" s="6">
        <f>Table1[[#This Row],[Percent Effort]]*$F$5</f>
        <v>957.6</v>
      </c>
      <c r="T66" s="6">
        <f>Table1[[#This Row],[Percent Effort]]*$F$6</f>
        <v>352.8</v>
      </c>
    </row>
    <row r="67" spans="8:20" x14ac:dyDescent="0.2">
      <c r="H67" s="2">
        <v>0.64</v>
      </c>
      <c r="I67" s="11">
        <f>Table1[[#This Row],[Percent Effort]]*$C$4</f>
        <v>7.68</v>
      </c>
      <c r="J67" s="11">
        <f>Table1[[#This Row],[Percent Effort]]*$C$5</f>
        <v>5.6128</v>
      </c>
      <c r="K67" s="11">
        <f>Table1[[#This Row],[Percent Effort]]*$C$6</f>
        <v>2.0672000000000001</v>
      </c>
      <c r="L67" s="6">
        <f>Table1[[#This Row],[Percent Effort]]*$D$4</f>
        <v>33.28</v>
      </c>
      <c r="M67" s="6">
        <f>Table1[[#This Row],[Percent Effort]]*$D$5</f>
        <v>24.32</v>
      </c>
      <c r="N67" s="6">
        <f>Table1[[#This Row],[Percent Effort]]*$D$6</f>
        <v>8.9600000000000009</v>
      </c>
      <c r="O67" s="6">
        <f>Table1[[#This Row],[Percent Effort]]*$E$4</f>
        <v>166.4</v>
      </c>
      <c r="P67" s="6">
        <f>Table1[[#This Row],[Percent Effort]]*$E$5</f>
        <v>121.60000000000001</v>
      </c>
      <c r="Q67" s="6">
        <f>Table1[[#This Row],[Percent Effort]]*$E$6</f>
        <v>44.800000000000004</v>
      </c>
      <c r="R67" s="6">
        <f>Table1[[#This Row],[Percent Effort]]*$F$4</f>
        <v>1331.2</v>
      </c>
      <c r="S67" s="6">
        <f>Table1[[#This Row],[Percent Effort]]*$F$5</f>
        <v>972.80000000000007</v>
      </c>
      <c r="T67" s="6">
        <f>Table1[[#This Row],[Percent Effort]]*$F$6</f>
        <v>358.40000000000003</v>
      </c>
    </row>
    <row r="68" spans="8:20" x14ac:dyDescent="0.2">
      <c r="H68" s="2">
        <v>0.65</v>
      </c>
      <c r="I68" s="11">
        <f>Table1[[#This Row],[Percent Effort]]*$C$4</f>
        <v>7.8000000000000007</v>
      </c>
      <c r="J68" s="11">
        <f>Table1[[#This Row],[Percent Effort]]*$C$5</f>
        <v>5.7004999999999999</v>
      </c>
      <c r="K68" s="11">
        <f>Table1[[#This Row],[Percent Effort]]*$C$6</f>
        <v>2.0994999999999999</v>
      </c>
      <c r="L68" s="6">
        <f>Table1[[#This Row],[Percent Effort]]*$D$4</f>
        <v>33.800000000000004</v>
      </c>
      <c r="M68" s="6">
        <f>Table1[[#This Row],[Percent Effort]]*$D$5</f>
        <v>24.7</v>
      </c>
      <c r="N68" s="6">
        <f>Table1[[#This Row],[Percent Effort]]*$D$6</f>
        <v>9.1</v>
      </c>
      <c r="O68" s="6">
        <f>Table1[[#This Row],[Percent Effort]]*$E$4</f>
        <v>169</v>
      </c>
      <c r="P68" s="6">
        <f>Table1[[#This Row],[Percent Effort]]*$E$5</f>
        <v>123.5</v>
      </c>
      <c r="Q68" s="6">
        <f>Table1[[#This Row],[Percent Effort]]*$E$6</f>
        <v>45.5</v>
      </c>
      <c r="R68" s="6">
        <f>Table1[[#This Row],[Percent Effort]]*$F$4</f>
        <v>1352</v>
      </c>
      <c r="S68" s="6">
        <f>Table1[[#This Row],[Percent Effort]]*$F$5</f>
        <v>988</v>
      </c>
      <c r="T68" s="6">
        <f>Table1[[#This Row],[Percent Effort]]*$F$6</f>
        <v>364</v>
      </c>
    </row>
    <row r="69" spans="8:20" x14ac:dyDescent="0.2">
      <c r="H69" s="2">
        <v>0.66</v>
      </c>
      <c r="I69" s="11">
        <f>Table1[[#This Row],[Percent Effort]]*$C$4</f>
        <v>7.92</v>
      </c>
      <c r="J69" s="11">
        <f>Table1[[#This Row],[Percent Effort]]*$C$5</f>
        <v>5.7881999999999998</v>
      </c>
      <c r="K69" s="11">
        <f>Table1[[#This Row],[Percent Effort]]*$C$6</f>
        <v>2.1318000000000001</v>
      </c>
      <c r="L69" s="6">
        <f>Table1[[#This Row],[Percent Effort]]*$D$4</f>
        <v>34.32</v>
      </c>
      <c r="M69" s="6">
        <f>Table1[[#This Row],[Percent Effort]]*$D$5</f>
        <v>25.080000000000002</v>
      </c>
      <c r="N69" s="6">
        <f>Table1[[#This Row],[Percent Effort]]*$D$6</f>
        <v>9.24</v>
      </c>
      <c r="O69" s="6">
        <f>Table1[[#This Row],[Percent Effort]]*$E$4</f>
        <v>171.6</v>
      </c>
      <c r="P69" s="6">
        <f>Table1[[#This Row],[Percent Effort]]*$E$5</f>
        <v>125.4</v>
      </c>
      <c r="Q69" s="6">
        <f>Table1[[#This Row],[Percent Effort]]*$E$6</f>
        <v>46.2</v>
      </c>
      <c r="R69" s="6">
        <f>Table1[[#This Row],[Percent Effort]]*$F$4</f>
        <v>1372.8</v>
      </c>
      <c r="S69" s="6">
        <f>Table1[[#This Row],[Percent Effort]]*$F$5</f>
        <v>1003.2</v>
      </c>
      <c r="T69" s="6">
        <f>Table1[[#This Row],[Percent Effort]]*$F$6</f>
        <v>369.6</v>
      </c>
    </row>
    <row r="70" spans="8:20" x14ac:dyDescent="0.2">
      <c r="H70" s="2">
        <v>0.67</v>
      </c>
      <c r="I70" s="11">
        <f>Table1[[#This Row],[Percent Effort]]*$C$4</f>
        <v>8.0400000000000009</v>
      </c>
      <c r="J70" s="11">
        <f>Table1[[#This Row],[Percent Effort]]*$C$5</f>
        <v>5.8758999999999997</v>
      </c>
      <c r="K70" s="11">
        <f>Table1[[#This Row],[Percent Effort]]*$C$6</f>
        <v>2.1640999999999999</v>
      </c>
      <c r="L70" s="6">
        <f>Table1[[#This Row],[Percent Effort]]*$D$4</f>
        <v>34.840000000000003</v>
      </c>
      <c r="M70" s="6">
        <f>Table1[[#This Row],[Percent Effort]]*$D$5</f>
        <v>25.46</v>
      </c>
      <c r="N70" s="6">
        <f>Table1[[#This Row],[Percent Effort]]*$D$6</f>
        <v>9.3800000000000008</v>
      </c>
      <c r="O70" s="6">
        <f>Table1[[#This Row],[Percent Effort]]*$E$4</f>
        <v>174.20000000000002</v>
      </c>
      <c r="P70" s="6">
        <f>Table1[[#This Row],[Percent Effort]]*$E$5</f>
        <v>127.30000000000001</v>
      </c>
      <c r="Q70" s="6">
        <f>Table1[[#This Row],[Percent Effort]]*$E$6</f>
        <v>46.900000000000006</v>
      </c>
      <c r="R70" s="6">
        <f>Table1[[#This Row],[Percent Effort]]*$F$4</f>
        <v>1393.6000000000001</v>
      </c>
      <c r="S70" s="6">
        <f>Table1[[#This Row],[Percent Effort]]*$F$5</f>
        <v>1018.4000000000001</v>
      </c>
      <c r="T70" s="6">
        <f>Table1[[#This Row],[Percent Effort]]*$F$6</f>
        <v>375.20000000000005</v>
      </c>
    </row>
    <row r="71" spans="8:20" x14ac:dyDescent="0.2">
      <c r="H71" s="2">
        <v>0.68</v>
      </c>
      <c r="I71" s="11">
        <f>Table1[[#This Row],[Percent Effort]]*$C$4</f>
        <v>8.16</v>
      </c>
      <c r="J71" s="11">
        <f>Table1[[#This Row],[Percent Effort]]*$C$5</f>
        <v>5.9636000000000005</v>
      </c>
      <c r="K71" s="11">
        <f>Table1[[#This Row],[Percent Effort]]*$C$6</f>
        <v>2.1964000000000001</v>
      </c>
      <c r="L71" s="6">
        <f>Table1[[#This Row],[Percent Effort]]*$D$4</f>
        <v>35.36</v>
      </c>
      <c r="M71" s="6">
        <f>Table1[[#This Row],[Percent Effort]]*$D$5</f>
        <v>25.840000000000003</v>
      </c>
      <c r="N71" s="6">
        <f>Table1[[#This Row],[Percent Effort]]*$D$6</f>
        <v>9.5200000000000014</v>
      </c>
      <c r="O71" s="6">
        <f>Table1[[#This Row],[Percent Effort]]*$E$4</f>
        <v>176.8</v>
      </c>
      <c r="P71" s="6">
        <f>Table1[[#This Row],[Percent Effort]]*$E$5</f>
        <v>129.20000000000002</v>
      </c>
      <c r="Q71" s="6">
        <f>Table1[[#This Row],[Percent Effort]]*$E$6</f>
        <v>47.6</v>
      </c>
      <c r="R71" s="6">
        <f>Table1[[#This Row],[Percent Effort]]*$F$4</f>
        <v>1414.4</v>
      </c>
      <c r="S71" s="6">
        <f>Table1[[#This Row],[Percent Effort]]*$F$5</f>
        <v>1033.6000000000001</v>
      </c>
      <c r="T71" s="6">
        <f>Table1[[#This Row],[Percent Effort]]*$F$6</f>
        <v>380.8</v>
      </c>
    </row>
    <row r="72" spans="8:20" x14ac:dyDescent="0.2">
      <c r="H72" s="2">
        <v>0.69</v>
      </c>
      <c r="I72" s="11">
        <f>Table1[[#This Row],[Percent Effort]]*$C$4</f>
        <v>8.2799999999999994</v>
      </c>
      <c r="J72" s="11">
        <f>Table1[[#This Row],[Percent Effort]]*$C$5</f>
        <v>6.0512999999999995</v>
      </c>
      <c r="K72" s="11">
        <f>Table1[[#This Row],[Percent Effort]]*$C$6</f>
        <v>2.2286999999999999</v>
      </c>
      <c r="L72" s="6">
        <f>Table1[[#This Row],[Percent Effort]]*$D$4</f>
        <v>35.879999999999995</v>
      </c>
      <c r="M72" s="6">
        <f>Table1[[#This Row],[Percent Effort]]*$D$5</f>
        <v>26.22</v>
      </c>
      <c r="N72" s="6">
        <f>Table1[[#This Row],[Percent Effort]]*$D$6</f>
        <v>9.66</v>
      </c>
      <c r="O72" s="6">
        <f>Table1[[#This Row],[Percent Effort]]*$E$4</f>
        <v>179.39999999999998</v>
      </c>
      <c r="P72" s="6">
        <f>Table1[[#This Row],[Percent Effort]]*$E$5</f>
        <v>131.1</v>
      </c>
      <c r="Q72" s="6">
        <f>Table1[[#This Row],[Percent Effort]]*$E$6</f>
        <v>48.3</v>
      </c>
      <c r="R72" s="6">
        <f>Table1[[#This Row],[Percent Effort]]*$F$4</f>
        <v>1435.1999999999998</v>
      </c>
      <c r="S72" s="6">
        <f>Table1[[#This Row],[Percent Effort]]*$F$5</f>
        <v>1048.8</v>
      </c>
      <c r="T72" s="6">
        <f>Table1[[#This Row],[Percent Effort]]*$F$6</f>
        <v>386.4</v>
      </c>
    </row>
    <row r="73" spans="8:20" x14ac:dyDescent="0.2">
      <c r="H73" s="2">
        <v>0.7</v>
      </c>
      <c r="I73" s="11">
        <f>Table1[[#This Row],[Percent Effort]]*$C$4</f>
        <v>8.3999999999999986</v>
      </c>
      <c r="J73" s="11">
        <f>Table1[[#This Row],[Percent Effort]]*$C$5</f>
        <v>6.1389999999999993</v>
      </c>
      <c r="K73" s="11">
        <f>Table1[[#This Row],[Percent Effort]]*$C$6</f>
        <v>2.2609999999999997</v>
      </c>
      <c r="L73" s="6">
        <f>Table1[[#This Row],[Percent Effort]]*$D$4</f>
        <v>36.4</v>
      </c>
      <c r="M73" s="6">
        <f>Table1[[#This Row],[Percent Effort]]*$D$5</f>
        <v>26.599999999999998</v>
      </c>
      <c r="N73" s="6">
        <f>Table1[[#This Row],[Percent Effort]]*$D$6</f>
        <v>9.7999999999999989</v>
      </c>
      <c r="O73" s="6">
        <f>Table1[[#This Row],[Percent Effort]]*$E$4</f>
        <v>182</v>
      </c>
      <c r="P73" s="6">
        <f>Table1[[#This Row],[Percent Effort]]*$E$5</f>
        <v>133</v>
      </c>
      <c r="Q73" s="6">
        <f>Table1[[#This Row],[Percent Effort]]*$E$6</f>
        <v>49</v>
      </c>
      <c r="R73" s="6">
        <f>Table1[[#This Row],[Percent Effort]]*$F$4</f>
        <v>1456</v>
      </c>
      <c r="S73" s="6">
        <f>Table1[[#This Row],[Percent Effort]]*$F$5</f>
        <v>1064</v>
      </c>
      <c r="T73" s="6">
        <f>Table1[[#This Row],[Percent Effort]]*$F$6</f>
        <v>392</v>
      </c>
    </row>
    <row r="74" spans="8:20" x14ac:dyDescent="0.2">
      <c r="H74" s="2">
        <v>0.71</v>
      </c>
      <c r="I74" s="11">
        <f>Table1[[#This Row],[Percent Effort]]*$C$4</f>
        <v>8.52</v>
      </c>
      <c r="J74" s="11">
        <f>Table1[[#This Row],[Percent Effort]]*$C$5</f>
        <v>6.2266999999999992</v>
      </c>
      <c r="K74" s="11">
        <f>Table1[[#This Row],[Percent Effort]]*$C$6</f>
        <v>2.2932999999999999</v>
      </c>
      <c r="L74" s="6">
        <f>Table1[[#This Row],[Percent Effort]]*$D$4</f>
        <v>36.92</v>
      </c>
      <c r="M74" s="6">
        <f>Table1[[#This Row],[Percent Effort]]*$D$5</f>
        <v>26.979999999999997</v>
      </c>
      <c r="N74" s="6">
        <f>Table1[[#This Row],[Percent Effort]]*$D$6</f>
        <v>9.94</v>
      </c>
      <c r="O74" s="6">
        <f>Table1[[#This Row],[Percent Effort]]*$E$4</f>
        <v>184.6</v>
      </c>
      <c r="P74" s="6">
        <f>Table1[[#This Row],[Percent Effort]]*$E$5</f>
        <v>134.9</v>
      </c>
      <c r="Q74" s="6">
        <f>Table1[[#This Row],[Percent Effort]]*$E$6</f>
        <v>49.699999999999996</v>
      </c>
      <c r="R74" s="6">
        <f>Table1[[#This Row],[Percent Effort]]*$F$4</f>
        <v>1476.8</v>
      </c>
      <c r="S74" s="6">
        <f>Table1[[#This Row],[Percent Effort]]*$F$5</f>
        <v>1079.2</v>
      </c>
      <c r="T74" s="6">
        <f>Table1[[#This Row],[Percent Effort]]*$F$6</f>
        <v>397.59999999999997</v>
      </c>
    </row>
    <row r="75" spans="8:20" x14ac:dyDescent="0.2">
      <c r="H75" s="2">
        <v>0.72</v>
      </c>
      <c r="I75" s="11">
        <f>Table1[[#This Row],[Percent Effort]]*$C$4</f>
        <v>8.64</v>
      </c>
      <c r="J75" s="11">
        <f>Table1[[#This Row],[Percent Effort]]*$C$5</f>
        <v>6.3143999999999991</v>
      </c>
      <c r="K75" s="11">
        <f>Table1[[#This Row],[Percent Effort]]*$C$6</f>
        <v>2.3256000000000001</v>
      </c>
      <c r="L75" s="6">
        <f>Table1[[#This Row],[Percent Effort]]*$D$4</f>
        <v>37.44</v>
      </c>
      <c r="M75" s="6">
        <f>Table1[[#This Row],[Percent Effort]]*$D$5</f>
        <v>27.36</v>
      </c>
      <c r="N75" s="6">
        <f>Table1[[#This Row],[Percent Effort]]*$D$6</f>
        <v>10.08</v>
      </c>
      <c r="O75" s="6">
        <f>Table1[[#This Row],[Percent Effort]]*$E$4</f>
        <v>187.2</v>
      </c>
      <c r="P75" s="6">
        <f>Table1[[#This Row],[Percent Effort]]*$E$5</f>
        <v>136.79999999999998</v>
      </c>
      <c r="Q75" s="6">
        <f>Table1[[#This Row],[Percent Effort]]*$E$6</f>
        <v>50.4</v>
      </c>
      <c r="R75" s="6">
        <f>Table1[[#This Row],[Percent Effort]]*$F$4</f>
        <v>1497.6</v>
      </c>
      <c r="S75" s="6">
        <f>Table1[[#This Row],[Percent Effort]]*$F$5</f>
        <v>1094.3999999999999</v>
      </c>
      <c r="T75" s="6">
        <f>Table1[[#This Row],[Percent Effort]]*$F$6</f>
        <v>403.2</v>
      </c>
    </row>
    <row r="76" spans="8:20" x14ac:dyDescent="0.2">
      <c r="H76" s="2">
        <v>0.73</v>
      </c>
      <c r="I76" s="11">
        <f>Table1[[#This Row],[Percent Effort]]*$C$4</f>
        <v>8.76</v>
      </c>
      <c r="J76" s="11">
        <f>Table1[[#This Row],[Percent Effort]]*$C$5</f>
        <v>6.4020999999999999</v>
      </c>
      <c r="K76" s="11">
        <f>Table1[[#This Row],[Percent Effort]]*$C$6</f>
        <v>2.3578999999999999</v>
      </c>
      <c r="L76" s="6">
        <f>Table1[[#This Row],[Percent Effort]]*$D$4</f>
        <v>37.96</v>
      </c>
      <c r="M76" s="6">
        <f>Table1[[#This Row],[Percent Effort]]*$D$5</f>
        <v>27.74</v>
      </c>
      <c r="N76" s="6">
        <f>Table1[[#This Row],[Percent Effort]]*$D$6</f>
        <v>10.219999999999999</v>
      </c>
      <c r="O76" s="6">
        <f>Table1[[#This Row],[Percent Effort]]*$E$4</f>
        <v>189.79999999999998</v>
      </c>
      <c r="P76" s="6">
        <f>Table1[[#This Row],[Percent Effort]]*$E$5</f>
        <v>138.69999999999999</v>
      </c>
      <c r="Q76" s="6">
        <f>Table1[[#This Row],[Percent Effort]]*$E$6</f>
        <v>51.1</v>
      </c>
      <c r="R76" s="6">
        <f>Table1[[#This Row],[Percent Effort]]*$F$4</f>
        <v>1518.3999999999999</v>
      </c>
      <c r="S76" s="6">
        <f>Table1[[#This Row],[Percent Effort]]*$F$5</f>
        <v>1109.5999999999999</v>
      </c>
      <c r="T76" s="6">
        <f>Table1[[#This Row],[Percent Effort]]*$F$6</f>
        <v>408.8</v>
      </c>
    </row>
    <row r="77" spans="8:20" x14ac:dyDescent="0.2">
      <c r="H77" s="2">
        <v>0.74</v>
      </c>
      <c r="I77" s="11">
        <f>Table1[[#This Row],[Percent Effort]]*$C$4</f>
        <v>8.879999999999999</v>
      </c>
      <c r="J77" s="11">
        <f>Table1[[#This Row],[Percent Effort]]*$C$5</f>
        <v>6.4897999999999998</v>
      </c>
      <c r="K77" s="11">
        <f>Table1[[#This Row],[Percent Effort]]*$C$6</f>
        <v>2.3902000000000001</v>
      </c>
      <c r="L77" s="6">
        <f>Table1[[#This Row],[Percent Effort]]*$D$4</f>
        <v>38.479999999999997</v>
      </c>
      <c r="M77" s="6">
        <f>Table1[[#This Row],[Percent Effort]]*$D$5</f>
        <v>28.12</v>
      </c>
      <c r="N77" s="6">
        <f>Table1[[#This Row],[Percent Effort]]*$D$6</f>
        <v>10.36</v>
      </c>
      <c r="O77" s="6">
        <f>Table1[[#This Row],[Percent Effort]]*$E$4</f>
        <v>192.4</v>
      </c>
      <c r="P77" s="6">
        <f>Table1[[#This Row],[Percent Effort]]*$E$5</f>
        <v>140.6</v>
      </c>
      <c r="Q77" s="6">
        <f>Table1[[#This Row],[Percent Effort]]*$E$6</f>
        <v>51.8</v>
      </c>
      <c r="R77" s="6">
        <f>Table1[[#This Row],[Percent Effort]]*$F$4</f>
        <v>1539.2</v>
      </c>
      <c r="S77" s="6">
        <f>Table1[[#This Row],[Percent Effort]]*$F$5</f>
        <v>1124.8</v>
      </c>
      <c r="T77" s="6">
        <f>Table1[[#This Row],[Percent Effort]]*$F$6</f>
        <v>414.4</v>
      </c>
    </row>
    <row r="78" spans="8:20" x14ac:dyDescent="0.2">
      <c r="H78" s="2">
        <v>0.75</v>
      </c>
      <c r="I78" s="11">
        <f>Table1[[#This Row],[Percent Effort]]*$C$4</f>
        <v>9</v>
      </c>
      <c r="J78" s="11">
        <f>Table1[[#This Row],[Percent Effort]]*$C$5</f>
        <v>6.5774999999999997</v>
      </c>
      <c r="K78" s="11">
        <f>Table1[[#This Row],[Percent Effort]]*$C$6</f>
        <v>2.4224999999999999</v>
      </c>
      <c r="L78" s="6">
        <f>Table1[[#This Row],[Percent Effort]]*$D$4</f>
        <v>39</v>
      </c>
      <c r="M78" s="6">
        <f>Table1[[#This Row],[Percent Effort]]*$D$5</f>
        <v>28.5</v>
      </c>
      <c r="N78" s="6">
        <f>Table1[[#This Row],[Percent Effort]]*$D$6</f>
        <v>10.5</v>
      </c>
      <c r="O78" s="6">
        <f>Table1[[#This Row],[Percent Effort]]*$E$4</f>
        <v>195</v>
      </c>
      <c r="P78" s="6">
        <f>Table1[[#This Row],[Percent Effort]]*$E$5</f>
        <v>142.5</v>
      </c>
      <c r="Q78" s="6">
        <f>Table1[[#This Row],[Percent Effort]]*$E$6</f>
        <v>52.5</v>
      </c>
      <c r="R78" s="6">
        <f>Table1[[#This Row],[Percent Effort]]*$F$4</f>
        <v>1560</v>
      </c>
      <c r="S78" s="6">
        <f>Table1[[#This Row],[Percent Effort]]*$F$5</f>
        <v>1140</v>
      </c>
      <c r="T78" s="6">
        <f>Table1[[#This Row],[Percent Effort]]*$F$6</f>
        <v>420</v>
      </c>
    </row>
    <row r="79" spans="8:20" x14ac:dyDescent="0.2">
      <c r="H79" s="2">
        <v>0.76</v>
      </c>
      <c r="I79" s="11">
        <f>Table1[[#This Row],[Percent Effort]]*$C$4</f>
        <v>9.120000000000001</v>
      </c>
      <c r="J79" s="11">
        <f>Table1[[#This Row],[Percent Effort]]*$C$5</f>
        <v>6.6651999999999996</v>
      </c>
      <c r="K79" s="11">
        <f>Table1[[#This Row],[Percent Effort]]*$C$6</f>
        <v>2.4548000000000001</v>
      </c>
      <c r="L79" s="6">
        <f>Table1[[#This Row],[Percent Effort]]*$D$4</f>
        <v>39.520000000000003</v>
      </c>
      <c r="M79" s="6">
        <f>Table1[[#This Row],[Percent Effort]]*$D$5</f>
        <v>28.88</v>
      </c>
      <c r="N79" s="6">
        <f>Table1[[#This Row],[Percent Effort]]*$D$6</f>
        <v>10.64</v>
      </c>
      <c r="O79" s="6">
        <f>Table1[[#This Row],[Percent Effort]]*$E$4</f>
        <v>197.6</v>
      </c>
      <c r="P79" s="6">
        <f>Table1[[#This Row],[Percent Effort]]*$E$5</f>
        <v>144.4</v>
      </c>
      <c r="Q79" s="6">
        <f>Table1[[#This Row],[Percent Effort]]*$E$6</f>
        <v>53.2</v>
      </c>
      <c r="R79" s="6">
        <f>Table1[[#This Row],[Percent Effort]]*$F$4</f>
        <v>1580.8</v>
      </c>
      <c r="S79" s="6">
        <f>Table1[[#This Row],[Percent Effort]]*$F$5</f>
        <v>1155.2</v>
      </c>
      <c r="T79" s="6">
        <f>Table1[[#This Row],[Percent Effort]]*$F$6</f>
        <v>425.6</v>
      </c>
    </row>
    <row r="80" spans="8:20" x14ac:dyDescent="0.2">
      <c r="H80" s="2">
        <v>0.77</v>
      </c>
      <c r="I80" s="11">
        <f>Table1[[#This Row],[Percent Effort]]*$C$4</f>
        <v>9.24</v>
      </c>
      <c r="J80" s="11">
        <f>Table1[[#This Row],[Percent Effort]]*$C$5</f>
        <v>6.7528999999999995</v>
      </c>
      <c r="K80" s="11">
        <f>Table1[[#This Row],[Percent Effort]]*$C$6</f>
        <v>2.4870999999999999</v>
      </c>
      <c r="L80" s="6">
        <f>Table1[[#This Row],[Percent Effort]]*$D$4</f>
        <v>40.04</v>
      </c>
      <c r="M80" s="6">
        <f>Table1[[#This Row],[Percent Effort]]*$D$5</f>
        <v>29.26</v>
      </c>
      <c r="N80" s="6">
        <f>Table1[[#This Row],[Percent Effort]]*$D$6</f>
        <v>10.780000000000001</v>
      </c>
      <c r="O80" s="6">
        <f>Table1[[#This Row],[Percent Effort]]*$E$4</f>
        <v>200.20000000000002</v>
      </c>
      <c r="P80" s="6">
        <f>Table1[[#This Row],[Percent Effort]]*$E$5</f>
        <v>146.30000000000001</v>
      </c>
      <c r="Q80" s="6">
        <f>Table1[[#This Row],[Percent Effort]]*$E$6</f>
        <v>53.9</v>
      </c>
      <c r="R80" s="6">
        <f>Table1[[#This Row],[Percent Effort]]*$F$4</f>
        <v>1601.6000000000001</v>
      </c>
      <c r="S80" s="6">
        <f>Table1[[#This Row],[Percent Effort]]*$F$5</f>
        <v>1170.4000000000001</v>
      </c>
      <c r="T80" s="6">
        <f>Table1[[#This Row],[Percent Effort]]*$F$6</f>
        <v>431.2</v>
      </c>
    </row>
    <row r="81" spans="8:20" x14ac:dyDescent="0.2">
      <c r="H81" s="2">
        <v>0.78</v>
      </c>
      <c r="I81" s="11">
        <f>Table1[[#This Row],[Percent Effort]]*$C$4</f>
        <v>9.36</v>
      </c>
      <c r="J81" s="11">
        <f>Table1[[#This Row],[Percent Effort]]*$C$5</f>
        <v>6.8406000000000002</v>
      </c>
      <c r="K81" s="11">
        <f>Table1[[#This Row],[Percent Effort]]*$C$6</f>
        <v>2.5194000000000001</v>
      </c>
      <c r="L81" s="6">
        <f>Table1[[#This Row],[Percent Effort]]*$D$4</f>
        <v>40.56</v>
      </c>
      <c r="M81" s="6">
        <f>Table1[[#This Row],[Percent Effort]]*$D$5</f>
        <v>29.64</v>
      </c>
      <c r="N81" s="6">
        <f>Table1[[#This Row],[Percent Effort]]*$D$6</f>
        <v>10.92</v>
      </c>
      <c r="O81" s="6">
        <f>Table1[[#This Row],[Percent Effort]]*$E$4</f>
        <v>202.8</v>
      </c>
      <c r="P81" s="6">
        <f>Table1[[#This Row],[Percent Effort]]*$E$5</f>
        <v>148.20000000000002</v>
      </c>
      <c r="Q81" s="6">
        <f>Table1[[#This Row],[Percent Effort]]*$E$6</f>
        <v>54.6</v>
      </c>
      <c r="R81" s="6">
        <f>Table1[[#This Row],[Percent Effort]]*$F$4</f>
        <v>1622.4</v>
      </c>
      <c r="S81" s="6">
        <f>Table1[[#This Row],[Percent Effort]]*$F$5</f>
        <v>1185.6000000000001</v>
      </c>
      <c r="T81" s="6">
        <f>Table1[[#This Row],[Percent Effort]]*$F$6</f>
        <v>436.8</v>
      </c>
    </row>
    <row r="82" spans="8:20" x14ac:dyDescent="0.2">
      <c r="H82" s="2">
        <v>0.79</v>
      </c>
      <c r="I82" s="11">
        <f>Table1[[#This Row],[Percent Effort]]*$C$4</f>
        <v>9.48</v>
      </c>
      <c r="J82" s="11">
        <f>Table1[[#This Row],[Percent Effort]]*$C$5</f>
        <v>6.9283000000000001</v>
      </c>
      <c r="K82" s="11">
        <f>Table1[[#This Row],[Percent Effort]]*$C$6</f>
        <v>2.5517000000000003</v>
      </c>
      <c r="L82" s="6">
        <f>Table1[[#This Row],[Percent Effort]]*$D$4</f>
        <v>41.08</v>
      </c>
      <c r="M82" s="6">
        <f>Table1[[#This Row],[Percent Effort]]*$D$5</f>
        <v>30.020000000000003</v>
      </c>
      <c r="N82" s="6">
        <f>Table1[[#This Row],[Percent Effort]]*$D$6</f>
        <v>11.06</v>
      </c>
      <c r="O82" s="6">
        <f>Table1[[#This Row],[Percent Effort]]*$E$4</f>
        <v>205.4</v>
      </c>
      <c r="P82" s="6">
        <f>Table1[[#This Row],[Percent Effort]]*$E$5</f>
        <v>150.1</v>
      </c>
      <c r="Q82" s="6">
        <f>Table1[[#This Row],[Percent Effort]]*$E$6</f>
        <v>55.300000000000004</v>
      </c>
      <c r="R82" s="6">
        <f>Table1[[#This Row],[Percent Effort]]*$F$4</f>
        <v>1643.2</v>
      </c>
      <c r="S82" s="6">
        <f>Table1[[#This Row],[Percent Effort]]*$F$5</f>
        <v>1200.8</v>
      </c>
      <c r="T82" s="6">
        <f>Table1[[#This Row],[Percent Effort]]*$F$6</f>
        <v>442.40000000000003</v>
      </c>
    </row>
    <row r="83" spans="8:20" x14ac:dyDescent="0.2">
      <c r="H83" s="2">
        <v>0.8</v>
      </c>
      <c r="I83" s="11">
        <f>Table1[[#This Row],[Percent Effort]]*$C$4</f>
        <v>9.6000000000000014</v>
      </c>
      <c r="J83" s="11">
        <f>Table1[[#This Row],[Percent Effort]]*$C$5</f>
        <v>7.016</v>
      </c>
      <c r="K83" s="11">
        <f>Table1[[#This Row],[Percent Effort]]*$C$6</f>
        <v>2.5840000000000001</v>
      </c>
      <c r="L83" s="6">
        <f>Table1[[#This Row],[Percent Effort]]*$D$4</f>
        <v>41.6</v>
      </c>
      <c r="M83" s="6">
        <f>Table1[[#This Row],[Percent Effort]]*$D$5</f>
        <v>30.400000000000002</v>
      </c>
      <c r="N83" s="6">
        <f>Table1[[#This Row],[Percent Effort]]*$D$6</f>
        <v>11.200000000000001</v>
      </c>
      <c r="O83" s="6">
        <f>Table1[[#This Row],[Percent Effort]]*$E$4</f>
        <v>208</v>
      </c>
      <c r="P83" s="6">
        <f>Table1[[#This Row],[Percent Effort]]*$E$5</f>
        <v>152</v>
      </c>
      <c r="Q83" s="6">
        <f>Table1[[#This Row],[Percent Effort]]*$E$6</f>
        <v>56</v>
      </c>
      <c r="R83" s="6">
        <f>Table1[[#This Row],[Percent Effort]]*$F$4</f>
        <v>1664</v>
      </c>
      <c r="S83" s="6">
        <f>Table1[[#This Row],[Percent Effort]]*$F$5</f>
        <v>1216</v>
      </c>
      <c r="T83" s="6">
        <f>Table1[[#This Row],[Percent Effort]]*$F$6</f>
        <v>448</v>
      </c>
    </row>
    <row r="84" spans="8:20" x14ac:dyDescent="0.2">
      <c r="H84" s="2">
        <v>0.81</v>
      </c>
      <c r="I84" s="11">
        <f>Table1[[#This Row],[Percent Effort]]*$C$4</f>
        <v>9.7200000000000006</v>
      </c>
      <c r="J84" s="11">
        <f>Table1[[#This Row],[Percent Effort]]*$C$5</f>
        <v>7.1036999999999999</v>
      </c>
      <c r="K84" s="11">
        <f>Table1[[#This Row],[Percent Effort]]*$C$6</f>
        <v>2.6163000000000003</v>
      </c>
      <c r="L84" s="6">
        <f>Table1[[#This Row],[Percent Effort]]*$D$4</f>
        <v>42.120000000000005</v>
      </c>
      <c r="M84" s="6">
        <f>Table1[[#This Row],[Percent Effort]]*$D$5</f>
        <v>30.78</v>
      </c>
      <c r="N84" s="6">
        <f>Table1[[#This Row],[Percent Effort]]*$D$6</f>
        <v>11.34</v>
      </c>
      <c r="O84" s="6">
        <f>Table1[[#This Row],[Percent Effort]]*$E$4</f>
        <v>210.60000000000002</v>
      </c>
      <c r="P84" s="6">
        <f>Table1[[#This Row],[Percent Effort]]*$E$5</f>
        <v>153.9</v>
      </c>
      <c r="Q84" s="6">
        <f>Table1[[#This Row],[Percent Effort]]*$E$6</f>
        <v>56.7</v>
      </c>
      <c r="R84" s="6">
        <f>Table1[[#This Row],[Percent Effort]]*$F$4</f>
        <v>1684.8000000000002</v>
      </c>
      <c r="S84" s="6">
        <f>Table1[[#This Row],[Percent Effort]]*$F$5</f>
        <v>1231.2</v>
      </c>
      <c r="T84" s="6">
        <f>Table1[[#This Row],[Percent Effort]]*$F$6</f>
        <v>453.6</v>
      </c>
    </row>
    <row r="85" spans="8:20" x14ac:dyDescent="0.2">
      <c r="H85" s="2">
        <v>0.82</v>
      </c>
      <c r="I85" s="11">
        <f>Table1[[#This Row],[Percent Effort]]*$C$4</f>
        <v>9.84</v>
      </c>
      <c r="J85" s="11">
        <f>Table1[[#This Row],[Percent Effort]]*$C$5</f>
        <v>7.1913999999999989</v>
      </c>
      <c r="K85" s="11">
        <f>Table1[[#This Row],[Percent Effort]]*$C$6</f>
        <v>2.6485999999999996</v>
      </c>
      <c r="L85" s="6">
        <f>Table1[[#This Row],[Percent Effort]]*$D$4</f>
        <v>42.64</v>
      </c>
      <c r="M85" s="6">
        <f>Table1[[#This Row],[Percent Effort]]*$D$5</f>
        <v>31.159999999999997</v>
      </c>
      <c r="N85" s="6">
        <f>Table1[[#This Row],[Percent Effort]]*$D$6</f>
        <v>11.479999999999999</v>
      </c>
      <c r="O85" s="6">
        <f>Table1[[#This Row],[Percent Effort]]*$E$4</f>
        <v>213.2</v>
      </c>
      <c r="P85" s="6">
        <f>Table1[[#This Row],[Percent Effort]]*$E$5</f>
        <v>155.79999999999998</v>
      </c>
      <c r="Q85" s="6">
        <f>Table1[[#This Row],[Percent Effort]]*$E$6</f>
        <v>57.4</v>
      </c>
      <c r="R85" s="6">
        <f>Table1[[#This Row],[Percent Effort]]*$F$4</f>
        <v>1705.6</v>
      </c>
      <c r="S85" s="6">
        <f>Table1[[#This Row],[Percent Effort]]*$F$5</f>
        <v>1246.3999999999999</v>
      </c>
      <c r="T85" s="6">
        <f>Table1[[#This Row],[Percent Effort]]*$F$6</f>
        <v>459.2</v>
      </c>
    </row>
    <row r="86" spans="8:20" x14ac:dyDescent="0.2">
      <c r="H86" s="2">
        <v>0.83</v>
      </c>
      <c r="I86" s="11">
        <f>Table1[[#This Row],[Percent Effort]]*$C$4</f>
        <v>9.9599999999999991</v>
      </c>
      <c r="J86" s="11">
        <f>Table1[[#This Row],[Percent Effort]]*$C$5</f>
        <v>7.2790999999999997</v>
      </c>
      <c r="K86" s="11">
        <f>Table1[[#This Row],[Percent Effort]]*$C$6</f>
        <v>2.6808999999999998</v>
      </c>
      <c r="L86" s="6">
        <f>Table1[[#This Row],[Percent Effort]]*$D$4</f>
        <v>43.16</v>
      </c>
      <c r="M86" s="6">
        <f>Table1[[#This Row],[Percent Effort]]*$D$5</f>
        <v>31.54</v>
      </c>
      <c r="N86" s="6">
        <f>Table1[[#This Row],[Percent Effort]]*$D$6</f>
        <v>11.62</v>
      </c>
      <c r="O86" s="6">
        <f>Table1[[#This Row],[Percent Effort]]*$E$4</f>
        <v>215.79999999999998</v>
      </c>
      <c r="P86" s="6">
        <f>Table1[[#This Row],[Percent Effort]]*$E$5</f>
        <v>157.69999999999999</v>
      </c>
      <c r="Q86" s="6">
        <f>Table1[[#This Row],[Percent Effort]]*$E$6</f>
        <v>58.099999999999994</v>
      </c>
      <c r="R86" s="6">
        <f>Table1[[#This Row],[Percent Effort]]*$F$4</f>
        <v>1726.3999999999999</v>
      </c>
      <c r="S86" s="6">
        <f>Table1[[#This Row],[Percent Effort]]*$F$5</f>
        <v>1261.5999999999999</v>
      </c>
      <c r="T86" s="6">
        <f>Table1[[#This Row],[Percent Effort]]*$F$6</f>
        <v>464.79999999999995</v>
      </c>
    </row>
    <row r="87" spans="8:20" x14ac:dyDescent="0.2">
      <c r="H87" s="2">
        <v>0.84</v>
      </c>
      <c r="I87" s="11">
        <f>Table1[[#This Row],[Percent Effort]]*$C$4</f>
        <v>10.08</v>
      </c>
      <c r="J87" s="11">
        <f>Table1[[#This Row],[Percent Effort]]*$C$5</f>
        <v>7.3667999999999996</v>
      </c>
      <c r="K87" s="11">
        <f>Table1[[#This Row],[Percent Effort]]*$C$6</f>
        <v>2.7132000000000001</v>
      </c>
      <c r="L87" s="6">
        <f>Table1[[#This Row],[Percent Effort]]*$D$4</f>
        <v>43.68</v>
      </c>
      <c r="M87" s="6">
        <f>Table1[[#This Row],[Percent Effort]]*$D$5</f>
        <v>31.919999999999998</v>
      </c>
      <c r="N87" s="6">
        <f>Table1[[#This Row],[Percent Effort]]*$D$6</f>
        <v>11.76</v>
      </c>
      <c r="O87" s="6">
        <f>Table1[[#This Row],[Percent Effort]]*$E$4</f>
        <v>218.4</v>
      </c>
      <c r="P87" s="6">
        <f>Table1[[#This Row],[Percent Effort]]*$E$5</f>
        <v>159.6</v>
      </c>
      <c r="Q87" s="6">
        <f>Table1[[#This Row],[Percent Effort]]*$E$6</f>
        <v>58.8</v>
      </c>
      <c r="R87" s="6">
        <f>Table1[[#This Row],[Percent Effort]]*$F$4</f>
        <v>1747.2</v>
      </c>
      <c r="S87" s="6">
        <f>Table1[[#This Row],[Percent Effort]]*$F$5</f>
        <v>1276.8</v>
      </c>
      <c r="T87" s="6">
        <f>Table1[[#This Row],[Percent Effort]]*$F$6</f>
        <v>470.4</v>
      </c>
    </row>
    <row r="88" spans="8:20" x14ac:dyDescent="0.2">
      <c r="H88" s="2">
        <v>0.85</v>
      </c>
      <c r="I88" s="11">
        <f>Table1[[#This Row],[Percent Effort]]*$C$4</f>
        <v>10.199999999999999</v>
      </c>
      <c r="J88" s="11">
        <f>Table1[[#This Row],[Percent Effort]]*$C$5</f>
        <v>7.4544999999999995</v>
      </c>
      <c r="K88" s="11">
        <f>Table1[[#This Row],[Percent Effort]]*$C$6</f>
        <v>2.7454999999999998</v>
      </c>
      <c r="L88" s="6">
        <f>Table1[[#This Row],[Percent Effort]]*$D$4</f>
        <v>44.199999999999996</v>
      </c>
      <c r="M88" s="6">
        <f>Table1[[#This Row],[Percent Effort]]*$D$5</f>
        <v>32.299999999999997</v>
      </c>
      <c r="N88" s="6">
        <f>Table1[[#This Row],[Percent Effort]]*$D$6</f>
        <v>11.9</v>
      </c>
      <c r="O88" s="6">
        <f>Table1[[#This Row],[Percent Effort]]*$E$4</f>
        <v>221</v>
      </c>
      <c r="P88" s="6">
        <f>Table1[[#This Row],[Percent Effort]]*$E$5</f>
        <v>161.5</v>
      </c>
      <c r="Q88" s="6">
        <f>Table1[[#This Row],[Percent Effort]]*$E$6</f>
        <v>59.5</v>
      </c>
      <c r="R88" s="6">
        <f>Table1[[#This Row],[Percent Effort]]*$F$4</f>
        <v>1768</v>
      </c>
      <c r="S88" s="6">
        <f>Table1[[#This Row],[Percent Effort]]*$F$5</f>
        <v>1292</v>
      </c>
      <c r="T88" s="6">
        <f>Table1[[#This Row],[Percent Effort]]*$F$6</f>
        <v>476</v>
      </c>
    </row>
    <row r="89" spans="8:20" x14ac:dyDescent="0.2">
      <c r="H89" s="2">
        <v>0.86</v>
      </c>
      <c r="I89" s="11">
        <f>Table1[[#This Row],[Percent Effort]]*$C$4</f>
        <v>10.32</v>
      </c>
      <c r="J89" s="11">
        <f>Table1[[#This Row],[Percent Effort]]*$C$5</f>
        <v>7.5421999999999993</v>
      </c>
      <c r="K89" s="11">
        <f>Table1[[#This Row],[Percent Effort]]*$C$6</f>
        <v>2.7778</v>
      </c>
      <c r="L89" s="6">
        <f>Table1[[#This Row],[Percent Effort]]*$D$4</f>
        <v>44.72</v>
      </c>
      <c r="M89" s="6">
        <f>Table1[[#This Row],[Percent Effort]]*$D$5</f>
        <v>32.68</v>
      </c>
      <c r="N89" s="6">
        <f>Table1[[#This Row],[Percent Effort]]*$D$6</f>
        <v>12.04</v>
      </c>
      <c r="O89" s="6">
        <f>Table1[[#This Row],[Percent Effort]]*$E$4</f>
        <v>223.6</v>
      </c>
      <c r="P89" s="6">
        <f>Table1[[#This Row],[Percent Effort]]*$E$5</f>
        <v>163.4</v>
      </c>
      <c r="Q89" s="6">
        <f>Table1[[#This Row],[Percent Effort]]*$E$6</f>
        <v>60.199999999999996</v>
      </c>
      <c r="R89" s="6">
        <f>Table1[[#This Row],[Percent Effort]]*$F$4</f>
        <v>1788.8</v>
      </c>
      <c r="S89" s="6">
        <f>Table1[[#This Row],[Percent Effort]]*$F$5</f>
        <v>1307.2</v>
      </c>
      <c r="T89" s="6">
        <f>Table1[[#This Row],[Percent Effort]]*$F$6</f>
        <v>481.59999999999997</v>
      </c>
    </row>
    <row r="90" spans="8:20" x14ac:dyDescent="0.2">
      <c r="H90" s="2">
        <v>0.87</v>
      </c>
      <c r="I90" s="11">
        <f>Table1[[#This Row],[Percent Effort]]*$C$4</f>
        <v>10.44</v>
      </c>
      <c r="J90" s="11">
        <f>Table1[[#This Row],[Percent Effort]]*$C$5</f>
        <v>7.6298999999999992</v>
      </c>
      <c r="K90" s="11">
        <f>Table1[[#This Row],[Percent Effort]]*$C$6</f>
        <v>2.8100999999999998</v>
      </c>
      <c r="L90" s="6">
        <f>Table1[[#This Row],[Percent Effort]]*$D$4</f>
        <v>45.24</v>
      </c>
      <c r="M90" s="6">
        <f>Table1[[#This Row],[Percent Effort]]*$D$5</f>
        <v>33.06</v>
      </c>
      <c r="N90" s="6">
        <f>Table1[[#This Row],[Percent Effort]]*$D$6</f>
        <v>12.18</v>
      </c>
      <c r="O90" s="6">
        <f>Table1[[#This Row],[Percent Effort]]*$E$4</f>
        <v>226.2</v>
      </c>
      <c r="P90" s="6">
        <f>Table1[[#This Row],[Percent Effort]]*$E$5</f>
        <v>165.3</v>
      </c>
      <c r="Q90" s="6">
        <f>Table1[[#This Row],[Percent Effort]]*$E$6</f>
        <v>60.9</v>
      </c>
      <c r="R90" s="6">
        <f>Table1[[#This Row],[Percent Effort]]*$F$4</f>
        <v>1809.6</v>
      </c>
      <c r="S90" s="6">
        <f>Table1[[#This Row],[Percent Effort]]*$F$5</f>
        <v>1322.4</v>
      </c>
      <c r="T90" s="6">
        <f>Table1[[#This Row],[Percent Effort]]*$F$6</f>
        <v>487.2</v>
      </c>
    </row>
    <row r="91" spans="8:20" x14ac:dyDescent="0.2">
      <c r="H91" s="2">
        <v>0.88</v>
      </c>
      <c r="I91" s="11">
        <f>Table1[[#This Row],[Percent Effort]]*$C$4</f>
        <v>10.56</v>
      </c>
      <c r="J91" s="11">
        <f>Table1[[#This Row],[Percent Effort]]*$C$5</f>
        <v>7.7176</v>
      </c>
      <c r="K91" s="11">
        <f>Table1[[#This Row],[Percent Effort]]*$C$6</f>
        <v>2.8424</v>
      </c>
      <c r="L91" s="6">
        <f>Table1[[#This Row],[Percent Effort]]*$D$4</f>
        <v>45.76</v>
      </c>
      <c r="M91" s="6">
        <f>Table1[[#This Row],[Percent Effort]]*$D$5</f>
        <v>33.44</v>
      </c>
      <c r="N91" s="6">
        <f>Table1[[#This Row],[Percent Effort]]*$D$6</f>
        <v>12.32</v>
      </c>
      <c r="O91" s="6">
        <f>Table1[[#This Row],[Percent Effort]]*$E$4</f>
        <v>228.8</v>
      </c>
      <c r="P91" s="6">
        <f>Table1[[#This Row],[Percent Effort]]*$E$5</f>
        <v>167.2</v>
      </c>
      <c r="Q91" s="6">
        <f>Table1[[#This Row],[Percent Effort]]*$E$6</f>
        <v>61.6</v>
      </c>
      <c r="R91" s="6">
        <f>Table1[[#This Row],[Percent Effort]]*$F$4</f>
        <v>1830.4</v>
      </c>
      <c r="S91" s="6">
        <f>Table1[[#This Row],[Percent Effort]]*$F$5</f>
        <v>1337.6</v>
      </c>
      <c r="T91" s="6">
        <f>Table1[[#This Row],[Percent Effort]]*$F$6</f>
        <v>492.8</v>
      </c>
    </row>
    <row r="92" spans="8:20" x14ac:dyDescent="0.2">
      <c r="H92" s="2">
        <v>0.89</v>
      </c>
      <c r="I92" s="11">
        <f>Table1[[#This Row],[Percent Effort]]*$C$4</f>
        <v>10.68</v>
      </c>
      <c r="J92" s="11">
        <f>Table1[[#This Row],[Percent Effort]]*$C$5</f>
        <v>7.8052999999999999</v>
      </c>
      <c r="K92" s="11">
        <f>Table1[[#This Row],[Percent Effort]]*$C$6</f>
        <v>2.8746999999999998</v>
      </c>
      <c r="L92" s="6">
        <f>Table1[[#This Row],[Percent Effort]]*$D$4</f>
        <v>46.28</v>
      </c>
      <c r="M92" s="6">
        <f>Table1[[#This Row],[Percent Effort]]*$D$5</f>
        <v>33.82</v>
      </c>
      <c r="N92" s="6">
        <f>Table1[[#This Row],[Percent Effort]]*$D$6</f>
        <v>12.46</v>
      </c>
      <c r="O92" s="6">
        <f>Table1[[#This Row],[Percent Effort]]*$E$4</f>
        <v>231.4</v>
      </c>
      <c r="P92" s="6">
        <f>Table1[[#This Row],[Percent Effort]]*$E$5</f>
        <v>169.1</v>
      </c>
      <c r="Q92" s="6">
        <f>Table1[[#This Row],[Percent Effort]]*$E$6</f>
        <v>62.300000000000004</v>
      </c>
      <c r="R92" s="6">
        <f>Table1[[#This Row],[Percent Effort]]*$F$4</f>
        <v>1851.2</v>
      </c>
      <c r="S92" s="6">
        <f>Table1[[#This Row],[Percent Effort]]*$F$5</f>
        <v>1352.8</v>
      </c>
      <c r="T92" s="6">
        <f>Table1[[#This Row],[Percent Effort]]*$F$6</f>
        <v>498.40000000000003</v>
      </c>
    </row>
    <row r="93" spans="8:20" x14ac:dyDescent="0.2">
      <c r="H93" s="2">
        <v>0.9</v>
      </c>
      <c r="I93" s="11">
        <f>Table1[[#This Row],[Percent Effort]]*$C$4</f>
        <v>10.8</v>
      </c>
      <c r="J93" s="11">
        <f>Table1[[#This Row],[Percent Effort]]*$C$5</f>
        <v>7.8929999999999998</v>
      </c>
      <c r="K93" s="11">
        <f>Table1[[#This Row],[Percent Effort]]*$C$6</f>
        <v>2.907</v>
      </c>
      <c r="L93" s="6">
        <f>Table1[[#This Row],[Percent Effort]]*$D$4</f>
        <v>46.800000000000004</v>
      </c>
      <c r="M93" s="6">
        <f>Table1[[#This Row],[Percent Effort]]*$D$5</f>
        <v>34.200000000000003</v>
      </c>
      <c r="N93" s="6">
        <f>Table1[[#This Row],[Percent Effort]]*$D$6</f>
        <v>12.6</v>
      </c>
      <c r="O93" s="6">
        <f>Table1[[#This Row],[Percent Effort]]*$E$4</f>
        <v>234</v>
      </c>
      <c r="P93" s="6">
        <f>Table1[[#This Row],[Percent Effort]]*$E$5</f>
        <v>171</v>
      </c>
      <c r="Q93" s="6">
        <f>Table1[[#This Row],[Percent Effort]]*$E$6</f>
        <v>63</v>
      </c>
      <c r="R93" s="6">
        <f>Table1[[#This Row],[Percent Effort]]*$F$4</f>
        <v>1872</v>
      </c>
      <c r="S93" s="6">
        <f>Table1[[#This Row],[Percent Effort]]*$F$5</f>
        <v>1368</v>
      </c>
      <c r="T93" s="6">
        <f>Table1[[#This Row],[Percent Effort]]*$F$6</f>
        <v>504</v>
      </c>
    </row>
    <row r="94" spans="8:20" x14ac:dyDescent="0.2">
      <c r="H94" s="2">
        <v>0.91</v>
      </c>
      <c r="I94" s="11">
        <f>Table1[[#This Row],[Percent Effort]]*$C$4</f>
        <v>10.92</v>
      </c>
      <c r="J94" s="11">
        <f>Table1[[#This Row],[Percent Effort]]*$C$5</f>
        <v>7.9806999999999997</v>
      </c>
      <c r="K94" s="11">
        <f>Table1[[#This Row],[Percent Effort]]*$C$6</f>
        <v>2.9393000000000002</v>
      </c>
      <c r="L94" s="6">
        <f>Table1[[#This Row],[Percent Effort]]*$D$4</f>
        <v>47.32</v>
      </c>
      <c r="M94" s="6">
        <f>Table1[[#This Row],[Percent Effort]]*$D$5</f>
        <v>34.58</v>
      </c>
      <c r="N94" s="6">
        <f>Table1[[#This Row],[Percent Effort]]*$D$6</f>
        <v>12.74</v>
      </c>
      <c r="O94" s="6">
        <f>Table1[[#This Row],[Percent Effort]]*$E$4</f>
        <v>236.6</v>
      </c>
      <c r="P94" s="6">
        <f>Table1[[#This Row],[Percent Effort]]*$E$5</f>
        <v>172.9</v>
      </c>
      <c r="Q94" s="6">
        <f>Table1[[#This Row],[Percent Effort]]*$E$6</f>
        <v>63.7</v>
      </c>
      <c r="R94" s="6">
        <f>Table1[[#This Row],[Percent Effort]]*$F$4</f>
        <v>1892.8</v>
      </c>
      <c r="S94" s="6">
        <f>Table1[[#This Row],[Percent Effort]]*$F$5</f>
        <v>1383.2</v>
      </c>
      <c r="T94" s="6">
        <f>Table1[[#This Row],[Percent Effort]]*$F$6</f>
        <v>509.6</v>
      </c>
    </row>
    <row r="95" spans="8:20" x14ac:dyDescent="0.2">
      <c r="H95" s="2">
        <v>0.92</v>
      </c>
      <c r="I95" s="11">
        <f>Table1[[#This Row],[Percent Effort]]*$C$4</f>
        <v>11.040000000000001</v>
      </c>
      <c r="J95" s="11">
        <f>Table1[[#This Row],[Percent Effort]]*$C$5</f>
        <v>8.0684000000000005</v>
      </c>
      <c r="K95" s="11">
        <f>Table1[[#This Row],[Percent Effort]]*$C$6</f>
        <v>2.9716</v>
      </c>
      <c r="L95" s="6">
        <f>Table1[[#This Row],[Percent Effort]]*$D$4</f>
        <v>47.84</v>
      </c>
      <c r="M95" s="6">
        <f>Table1[[#This Row],[Percent Effort]]*$D$5</f>
        <v>34.96</v>
      </c>
      <c r="N95" s="6">
        <f>Table1[[#This Row],[Percent Effort]]*$D$6</f>
        <v>12.88</v>
      </c>
      <c r="O95" s="6">
        <f>Table1[[#This Row],[Percent Effort]]*$E$4</f>
        <v>239.20000000000002</v>
      </c>
      <c r="P95" s="6">
        <f>Table1[[#This Row],[Percent Effort]]*$E$5</f>
        <v>174.8</v>
      </c>
      <c r="Q95" s="6">
        <f>Table1[[#This Row],[Percent Effort]]*$E$6</f>
        <v>64.400000000000006</v>
      </c>
      <c r="R95" s="6">
        <f>Table1[[#This Row],[Percent Effort]]*$F$4</f>
        <v>1913.6000000000001</v>
      </c>
      <c r="S95" s="6">
        <f>Table1[[#This Row],[Percent Effort]]*$F$5</f>
        <v>1398.4</v>
      </c>
      <c r="T95" s="6">
        <f>Table1[[#This Row],[Percent Effort]]*$F$6</f>
        <v>515.20000000000005</v>
      </c>
    </row>
    <row r="96" spans="8:20" x14ac:dyDescent="0.2">
      <c r="H96" s="2">
        <v>0.93</v>
      </c>
      <c r="I96" s="11">
        <f>Table1[[#This Row],[Percent Effort]]*$C$4</f>
        <v>11.16</v>
      </c>
      <c r="J96" s="11">
        <f>Table1[[#This Row],[Percent Effort]]*$C$5</f>
        <v>8.1561000000000003</v>
      </c>
      <c r="K96" s="11">
        <f>Table1[[#This Row],[Percent Effort]]*$C$6</f>
        <v>3.0039000000000002</v>
      </c>
      <c r="L96" s="6">
        <f>Table1[[#This Row],[Percent Effort]]*$D$4</f>
        <v>48.36</v>
      </c>
      <c r="M96" s="6">
        <f>Table1[[#This Row],[Percent Effort]]*$D$5</f>
        <v>35.340000000000003</v>
      </c>
      <c r="N96" s="6">
        <f>Table1[[#This Row],[Percent Effort]]*$D$6</f>
        <v>13.020000000000001</v>
      </c>
      <c r="O96" s="6">
        <f>Table1[[#This Row],[Percent Effort]]*$E$4</f>
        <v>241.8</v>
      </c>
      <c r="P96" s="6">
        <f>Table1[[#This Row],[Percent Effort]]*$E$5</f>
        <v>176.70000000000002</v>
      </c>
      <c r="Q96" s="6">
        <f>Table1[[#This Row],[Percent Effort]]*$E$6</f>
        <v>65.100000000000009</v>
      </c>
      <c r="R96" s="6">
        <f>Table1[[#This Row],[Percent Effort]]*$F$4</f>
        <v>1934.4</v>
      </c>
      <c r="S96" s="6">
        <f>Table1[[#This Row],[Percent Effort]]*$F$5</f>
        <v>1413.6000000000001</v>
      </c>
      <c r="T96" s="6">
        <f>Table1[[#This Row],[Percent Effort]]*$F$6</f>
        <v>520.80000000000007</v>
      </c>
    </row>
    <row r="97" spans="8:20" x14ac:dyDescent="0.2">
      <c r="H97" s="2">
        <v>0.94</v>
      </c>
      <c r="I97" s="11">
        <f>Table1[[#This Row],[Percent Effort]]*$C$4</f>
        <v>11.28</v>
      </c>
      <c r="J97" s="11">
        <f>Table1[[#This Row],[Percent Effort]]*$C$5</f>
        <v>8.2437999999999985</v>
      </c>
      <c r="K97" s="11">
        <f>Table1[[#This Row],[Percent Effort]]*$C$6</f>
        <v>3.0362</v>
      </c>
      <c r="L97" s="6">
        <f>Table1[[#This Row],[Percent Effort]]*$D$4</f>
        <v>48.879999999999995</v>
      </c>
      <c r="M97" s="6">
        <f>Table1[[#This Row],[Percent Effort]]*$D$5</f>
        <v>35.72</v>
      </c>
      <c r="N97" s="6">
        <f>Table1[[#This Row],[Percent Effort]]*$D$6</f>
        <v>13.16</v>
      </c>
      <c r="O97" s="6">
        <f>Table1[[#This Row],[Percent Effort]]*$E$4</f>
        <v>244.39999999999998</v>
      </c>
      <c r="P97" s="6">
        <f>Table1[[#This Row],[Percent Effort]]*$E$5</f>
        <v>178.6</v>
      </c>
      <c r="Q97" s="6">
        <f>Table1[[#This Row],[Percent Effort]]*$E$6</f>
        <v>65.8</v>
      </c>
      <c r="R97" s="6">
        <f>Table1[[#This Row],[Percent Effort]]*$F$4</f>
        <v>1955.1999999999998</v>
      </c>
      <c r="S97" s="6">
        <f>Table1[[#This Row],[Percent Effort]]*$F$5</f>
        <v>1428.8</v>
      </c>
      <c r="T97" s="6">
        <f>Table1[[#This Row],[Percent Effort]]*$F$6</f>
        <v>526.4</v>
      </c>
    </row>
    <row r="98" spans="8:20" x14ac:dyDescent="0.2">
      <c r="H98" s="2">
        <v>0.95</v>
      </c>
      <c r="I98" s="11">
        <f>Table1[[#This Row],[Percent Effort]]*$C$4</f>
        <v>11.399999999999999</v>
      </c>
      <c r="J98" s="11">
        <f>Table1[[#This Row],[Percent Effort]]*$C$5</f>
        <v>8.3314999999999984</v>
      </c>
      <c r="K98" s="11">
        <f>Table1[[#This Row],[Percent Effort]]*$C$6</f>
        <v>3.0684999999999998</v>
      </c>
      <c r="L98" s="6">
        <f>Table1[[#This Row],[Percent Effort]]*$D$4</f>
        <v>49.4</v>
      </c>
      <c r="M98" s="6">
        <f>Table1[[#This Row],[Percent Effort]]*$D$5</f>
        <v>36.1</v>
      </c>
      <c r="N98" s="6">
        <f>Table1[[#This Row],[Percent Effort]]*$D$6</f>
        <v>13.299999999999999</v>
      </c>
      <c r="O98" s="6">
        <f>Table1[[#This Row],[Percent Effort]]*$E$4</f>
        <v>247</v>
      </c>
      <c r="P98" s="6">
        <f>Table1[[#This Row],[Percent Effort]]*$E$5</f>
        <v>180.5</v>
      </c>
      <c r="Q98" s="6">
        <f>Table1[[#This Row],[Percent Effort]]*$E$6</f>
        <v>66.5</v>
      </c>
      <c r="R98" s="6">
        <f>Table1[[#This Row],[Percent Effort]]*$F$4</f>
        <v>1976</v>
      </c>
      <c r="S98" s="6">
        <f>Table1[[#This Row],[Percent Effort]]*$F$5</f>
        <v>1444</v>
      </c>
      <c r="T98" s="6">
        <f>Table1[[#This Row],[Percent Effort]]*$F$6</f>
        <v>532</v>
      </c>
    </row>
    <row r="99" spans="8:20" x14ac:dyDescent="0.2">
      <c r="H99" s="2">
        <v>0.96</v>
      </c>
      <c r="I99" s="11">
        <f>Table1[[#This Row],[Percent Effort]]*$C$4</f>
        <v>11.52</v>
      </c>
      <c r="J99" s="11">
        <f>Table1[[#This Row],[Percent Effort]]*$C$5</f>
        <v>8.4192</v>
      </c>
      <c r="K99" s="11">
        <f>Table1[[#This Row],[Percent Effort]]*$C$6</f>
        <v>3.1008</v>
      </c>
      <c r="L99" s="6">
        <f>Table1[[#This Row],[Percent Effort]]*$D$4</f>
        <v>49.92</v>
      </c>
      <c r="M99" s="6">
        <f>Table1[[#This Row],[Percent Effort]]*$D$5</f>
        <v>36.479999999999997</v>
      </c>
      <c r="N99" s="6">
        <f>Table1[[#This Row],[Percent Effort]]*$D$6</f>
        <v>13.44</v>
      </c>
      <c r="O99" s="6">
        <f>Table1[[#This Row],[Percent Effort]]*$E$4</f>
        <v>249.6</v>
      </c>
      <c r="P99" s="6">
        <f>Table1[[#This Row],[Percent Effort]]*$E$5</f>
        <v>182.4</v>
      </c>
      <c r="Q99" s="6">
        <f>Table1[[#This Row],[Percent Effort]]*$E$6</f>
        <v>67.2</v>
      </c>
      <c r="R99" s="6">
        <f>Table1[[#This Row],[Percent Effort]]*$F$4</f>
        <v>1996.8</v>
      </c>
      <c r="S99" s="6">
        <f>Table1[[#This Row],[Percent Effort]]*$F$5</f>
        <v>1459.2</v>
      </c>
      <c r="T99" s="6">
        <f>Table1[[#This Row],[Percent Effort]]*$F$6</f>
        <v>537.6</v>
      </c>
    </row>
    <row r="100" spans="8:20" x14ac:dyDescent="0.2">
      <c r="H100" s="2">
        <v>0.97</v>
      </c>
      <c r="I100" s="11">
        <f>Table1[[#This Row],[Percent Effort]]*$C$4</f>
        <v>11.64</v>
      </c>
      <c r="J100" s="11">
        <f>Table1[[#This Row],[Percent Effort]]*$C$5</f>
        <v>8.5068999999999999</v>
      </c>
      <c r="K100" s="11">
        <f>Table1[[#This Row],[Percent Effort]]*$C$6</f>
        <v>3.1330999999999998</v>
      </c>
      <c r="L100" s="6">
        <f>Table1[[#This Row],[Percent Effort]]*$D$4</f>
        <v>50.44</v>
      </c>
      <c r="M100" s="6">
        <f>Table1[[#This Row],[Percent Effort]]*$D$5</f>
        <v>36.86</v>
      </c>
      <c r="N100" s="6">
        <f>Table1[[#This Row],[Percent Effort]]*$D$6</f>
        <v>13.58</v>
      </c>
      <c r="O100" s="6">
        <f>Table1[[#This Row],[Percent Effort]]*$E$4</f>
        <v>252.2</v>
      </c>
      <c r="P100" s="6">
        <f>Table1[[#This Row],[Percent Effort]]*$E$5</f>
        <v>184.29999999999998</v>
      </c>
      <c r="Q100" s="6">
        <f>Table1[[#This Row],[Percent Effort]]*$E$6</f>
        <v>67.899999999999991</v>
      </c>
      <c r="R100" s="6">
        <f>Table1[[#This Row],[Percent Effort]]*$F$4</f>
        <v>2017.6</v>
      </c>
      <c r="S100" s="6">
        <f>Table1[[#This Row],[Percent Effort]]*$F$5</f>
        <v>1474.3999999999999</v>
      </c>
      <c r="T100" s="6">
        <f>Table1[[#This Row],[Percent Effort]]*$F$6</f>
        <v>543.19999999999993</v>
      </c>
    </row>
    <row r="101" spans="8:20" x14ac:dyDescent="0.2">
      <c r="H101" s="2">
        <v>0.98</v>
      </c>
      <c r="I101" s="11">
        <f>Table1[[#This Row],[Percent Effort]]*$C$4</f>
        <v>11.76</v>
      </c>
      <c r="J101" s="11">
        <f>Table1[[#This Row],[Percent Effort]]*$C$5</f>
        <v>8.5945999999999998</v>
      </c>
      <c r="K101" s="11">
        <f>Table1[[#This Row],[Percent Effort]]*$C$6</f>
        <v>3.1654</v>
      </c>
      <c r="L101" s="6">
        <f>Table1[[#This Row],[Percent Effort]]*$D$4</f>
        <v>50.96</v>
      </c>
      <c r="M101" s="6">
        <f>Table1[[#This Row],[Percent Effort]]*$D$5</f>
        <v>37.24</v>
      </c>
      <c r="N101" s="6">
        <f>Table1[[#This Row],[Percent Effort]]*$D$6</f>
        <v>13.719999999999999</v>
      </c>
      <c r="O101" s="6">
        <f>Table1[[#This Row],[Percent Effort]]*$E$4</f>
        <v>254.79999999999998</v>
      </c>
      <c r="P101" s="6">
        <f>Table1[[#This Row],[Percent Effort]]*$E$5</f>
        <v>186.2</v>
      </c>
      <c r="Q101" s="6">
        <f>Table1[[#This Row],[Percent Effort]]*$E$6</f>
        <v>68.599999999999994</v>
      </c>
      <c r="R101" s="6">
        <f>Table1[[#This Row],[Percent Effort]]*$F$4</f>
        <v>2038.3999999999999</v>
      </c>
      <c r="S101" s="6">
        <f>Table1[[#This Row],[Percent Effort]]*$F$5</f>
        <v>1489.6</v>
      </c>
      <c r="T101" s="6">
        <f>Table1[[#This Row],[Percent Effort]]*$F$6</f>
        <v>548.79999999999995</v>
      </c>
    </row>
    <row r="102" spans="8:20" x14ac:dyDescent="0.2">
      <c r="H102" s="2">
        <v>0.99</v>
      </c>
      <c r="I102" s="11">
        <f>Table1[[#This Row],[Percent Effort]]*$C$4</f>
        <v>11.879999999999999</v>
      </c>
      <c r="J102" s="11">
        <f>Table1[[#This Row],[Percent Effort]]*$C$5</f>
        <v>8.6822999999999997</v>
      </c>
      <c r="K102" s="11">
        <f>Table1[[#This Row],[Percent Effort]]*$C$6</f>
        <v>3.1976999999999998</v>
      </c>
      <c r="L102" s="6">
        <f>Table1[[#This Row],[Percent Effort]]*$D$4</f>
        <v>51.48</v>
      </c>
      <c r="M102" s="6">
        <f>Table1[[#This Row],[Percent Effort]]*$D$5</f>
        <v>37.619999999999997</v>
      </c>
      <c r="N102" s="6">
        <f>Table1[[#This Row],[Percent Effort]]*$D$6</f>
        <v>13.86</v>
      </c>
      <c r="O102" s="6">
        <f>Table1[[#This Row],[Percent Effort]]*$E$4</f>
        <v>257.39999999999998</v>
      </c>
      <c r="P102" s="6">
        <f>Table1[[#This Row],[Percent Effort]]*$E$5</f>
        <v>188.1</v>
      </c>
      <c r="Q102" s="6">
        <f>Table1[[#This Row],[Percent Effort]]*$E$6</f>
        <v>69.3</v>
      </c>
      <c r="R102" s="6">
        <f>Table1[[#This Row],[Percent Effort]]*$F$4</f>
        <v>2059.1999999999998</v>
      </c>
      <c r="S102" s="6">
        <f>Table1[[#This Row],[Percent Effort]]*$F$5</f>
        <v>1504.8</v>
      </c>
      <c r="T102" s="6">
        <f>Table1[[#This Row],[Percent Effort]]*$F$6</f>
        <v>554.4</v>
      </c>
    </row>
    <row r="103" spans="8:20" x14ac:dyDescent="0.2">
      <c r="H103" s="2">
        <v>1</v>
      </c>
      <c r="I103" s="11">
        <f>Table1[[#This Row],[Percent Effort]]*$C$4</f>
        <v>12</v>
      </c>
      <c r="J103" s="11">
        <f>Table1[[#This Row],[Percent Effort]]*$C$5</f>
        <v>8.77</v>
      </c>
      <c r="K103" s="11">
        <f>Table1[[#This Row],[Percent Effort]]*$C$6</f>
        <v>3.23</v>
      </c>
      <c r="L103" s="6">
        <f>Table1[[#This Row],[Percent Effort]]*$D$4</f>
        <v>52</v>
      </c>
      <c r="M103" s="6">
        <f>Table1[[#This Row],[Percent Effort]]*$D$5</f>
        <v>38</v>
      </c>
      <c r="N103" s="6">
        <f>Table1[[#This Row],[Percent Effort]]*$D$6</f>
        <v>14</v>
      </c>
      <c r="O103" s="6">
        <f>Table1[[#This Row],[Percent Effort]]*$E$4</f>
        <v>260</v>
      </c>
      <c r="P103" s="6">
        <f>Table1[[#This Row],[Percent Effort]]*$E$5</f>
        <v>190</v>
      </c>
      <c r="Q103" s="6">
        <f>Table1[[#This Row],[Percent Effort]]*$E$6</f>
        <v>70</v>
      </c>
      <c r="R103" s="6">
        <f>Table1[[#This Row],[Percent Effort]]*$F$4</f>
        <v>2080</v>
      </c>
      <c r="S103" s="6">
        <f>Table1[[#This Row],[Percent Effort]]*$F$5</f>
        <v>1520</v>
      </c>
      <c r="T103" s="6">
        <f>Table1[[#This Row],[Percent Effort]]*$F$6</f>
        <v>560</v>
      </c>
    </row>
  </sheetData>
  <mergeCells count="2">
    <mergeCell ref="H2:T2"/>
    <mergeCell ref="B11:E11"/>
  </mergeCells>
  <pageMargins left="0.7" right="0.7" top="0.75" bottom="0.75" header="0.3" footer="0.3"/>
  <pageSetup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4d2a1a61-3b4c-4339-8ec3-dd85a7bf061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3A01F4FA7C9454A8938C55A82822659" ma:contentTypeVersion="13" ma:contentTypeDescription="Create a new document." ma:contentTypeScope="" ma:versionID="888c72fe128949734db40908d98a136f">
  <xsd:schema xmlns:xsd="http://www.w3.org/2001/XMLSchema" xmlns:xs="http://www.w3.org/2001/XMLSchema" xmlns:p="http://schemas.microsoft.com/office/2006/metadata/properties" xmlns:ns2="4d2a1a61-3b4c-4339-8ec3-dd85a7bf061c" xmlns:ns3="c2df3362-317e-45da-923b-8d918f0bb8f1" targetNamespace="http://schemas.microsoft.com/office/2006/metadata/properties" ma:root="true" ma:fieldsID="1e28593fde5eb4eab801640636d179ad" ns2:_="" ns3:_="">
    <xsd:import namespace="4d2a1a61-3b4c-4339-8ec3-dd85a7bf061c"/>
    <xsd:import namespace="c2df3362-317e-45da-923b-8d918f0bb8f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3:SharedWithUsers" minOccurs="0"/>
                <xsd:element ref="ns3:SharedWithDetails" minOccurs="0"/>
                <xsd:element ref="ns2:MediaServiceObjectDetectorVersions" minOccurs="0"/>
                <xsd:element ref="ns2:MediaServiceSearchProperties" minOccurs="0"/>
                <xsd:element ref="ns2:lcf76f155ced4ddcb4097134ff3c332f"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d2a1a61-3b4c-4339-8ec3-dd85a7bf06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8ab86591-d70f-4a96-900c-bfbe5e6a3186"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2df3362-317e-45da-923b-8d918f0bb8f1"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5FAD69D-0838-4D78-AD57-82BE01A9C945}">
  <ds:schemaRefs>
    <ds:schemaRef ds:uri="http://schemas.microsoft.com/office/2006/metadata/properties"/>
    <ds:schemaRef ds:uri="http://schemas.microsoft.com/office/infopath/2007/PartnerControls"/>
    <ds:schemaRef ds:uri="4d2a1a61-3b4c-4339-8ec3-dd85a7bf061c"/>
  </ds:schemaRefs>
</ds:datastoreItem>
</file>

<file path=customXml/itemProps2.xml><?xml version="1.0" encoding="utf-8"?>
<ds:datastoreItem xmlns:ds="http://schemas.openxmlformats.org/officeDocument/2006/customXml" ds:itemID="{CA0A0D7C-220B-4DCF-9FF0-EE30791A395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d2a1a61-3b4c-4339-8ec3-dd85a7bf061c"/>
    <ds:schemaRef ds:uri="c2df3362-317e-45da-923b-8d918f0bb8f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4790C8D-34AC-4CF0-A6B5-7A8C64919F0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226</vt:i4>
      </vt:variant>
    </vt:vector>
  </HeadingPairs>
  <TitlesOfParts>
    <vt:vector size="233" baseType="lpstr">
      <vt:lpstr>Start Here</vt:lpstr>
      <vt:lpstr>Budget Details</vt:lpstr>
      <vt:lpstr>Cumulative</vt:lpstr>
      <vt:lpstr> Travel Calculator</vt:lpstr>
      <vt:lpstr>Summary_of_Personnel Costs</vt:lpstr>
      <vt:lpstr>Rates</vt:lpstr>
      <vt:lpstr>Person Months</vt:lpstr>
      <vt:lpstr>cs.DometicTravelTOT</vt:lpstr>
      <vt:lpstr>cs.Equip1</vt:lpstr>
      <vt:lpstr>cs.Equip2</vt:lpstr>
      <vt:lpstr>cs.Equip3</vt:lpstr>
      <vt:lpstr>cs.ExclSub1Yr1</vt:lpstr>
      <vt:lpstr>cs.ExclSub1Yr2</vt:lpstr>
      <vt:lpstr>cs.ExclSub1Yr3</vt:lpstr>
      <vt:lpstr>cs.ExclSub2Yr1</vt:lpstr>
      <vt:lpstr>cs.ExclSub2Yr2</vt:lpstr>
      <vt:lpstr>cs.ExclSub2Yr3</vt:lpstr>
      <vt:lpstr>cs.ExclSub3Yr1</vt:lpstr>
      <vt:lpstr>cs.ExclSub3Yr2</vt:lpstr>
      <vt:lpstr>cs.ExclSub3Yr3</vt:lpstr>
      <vt:lpstr>cs.ExclSub4Yr1</vt:lpstr>
      <vt:lpstr>cs.ExclSub4Yr2</vt:lpstr>
      <vt:lpstr>cs.ExclSub4Yr3</vt:lpstr>
      <vt:lpstr>cs.ExclSub5Yr1</vt:lpstr>
      <vt:lpstr>cs.ExclSub5Yr2</vt:lpstr>
      <vt:lpstr>cs.ExclSub5Yr3</vt:lpstr>
      <vt:lpstr>cs.ForgoneIdcCalculation1</vt:lpstr>
      <vt:lpstr>cs.ForgoneIdcCalculation2</vt:lpstr>
      <vt:lpstr>cs.ForgoneIdcCalculation3</vt:lpstr>
      <vt:lpstr>cs.ForgoneIdcCalculationTot</vt:lpstr>
      <vt:lpstr>cs.GRA.Tuition1</vt:lpstr>
      <vt:lpstr>cs.GRA.Tuition2</vt:lpstr>
      <vt:lpstr>cs.GRA.Tuition3</vt:lpstr>
      <vt:lpstr>cs.GRA.TutionTot</vt:lpstr>
      <vt:lpstr>cs.GRABenefits1</vt:lpstr>
      <vt:lpstr>cs.GRABenefits2</vt:lpstr>
      <vt:lpstr>cs.GRABenefits3</vt:lpstr>
      <vt:lpstr>cs.GRABenefitsToT</vt:lpstr>
      <vt:lpstr>cs.GRASalary1</vt:lpstr>
      <vt:lpstr>cs.GRASalary2</vt:lpstr>
      <vt:lpstr>cs.GRASalary3</vt:lpstr>
      <vt:lpstr>cs.GRASalaryToT</vt:lpstr>
      <vt:lpstr>cs.IDCbase1</vt:lpstr>
      <vt:lpstr>cs.IDCbase2</vt:lpstr>
      <vt:lpstr>cs.IDCbase3</vt:lpstr>
      <vt:lpstr>cs.IDCbaseTot</vt:lpstr>
      <vt:lpstr>cs.IDCRate</vt:lpstr>
      <vt:lpstr>cs.IDCTOT</vt:lpstr>
      <vt:lpstr>cs.IDCYr1</vt:lpstr>
      <vt:lpstr>cs.IDCYr2</vt:lpstr>
      <vt:lpstr>cs.IDCYr3</vt:lpstr>
      <vt:lpstr>cs.InternatTravelTOT</vt:lpstr>
      <vt:lpstr>cs.NICRARate</vt:lpstr>
      <vt:lpstr>cs.Oth.Fringe1</vt:lpstr>
      <vt:lpstr>cs.Oth.Fringe2</vt:lpstr>
      <vt:lpstr>cs.Oth.Fringe3</vt:lpstr>
      <vt:lpstr>cs.Oth.FringeTot</vt:lpstr>
      <vt:lpstr>cs.Oth.Salary1</vt:lpstr>
      <vt:lpstr>cs.Oth.Salary2</vt:lpstr>
      <vt:lpstr>cs.Oth.Salary3</vt:lpstr>
      <vt:lpstr>cs.Oth.SalaryTOT</vt:lpstr>
      <vt:lpstr>cs.OthDirCost1</vt:lpstr>
      <vt:lpstr>cs.OthDirCost2</vt:lpstr>
      <vt:lpstr>cs.OthDirCost3</vt:lpstr>
      <vt:lpstr>cs.OtherRates</vt:lpstr>
      <vt:lpstr>cs.PSCYr1</vt:lpstr>
      <vt:lpstr>cs.PSCYr2</vt:lpstr>
      <vt:lpstr>cs.PSCYr3</vt:lpstr>
      <vt:lpstr>cs.RateOptions</vt:lpstr>
      <vt:lpstr>cs.SrFringe1</vt:lpstr>
      <vt:lpstr>cs.SrFringe2</vt:lpstr>
      <vt:lpstr>cs.SrFringe3</vt:lpstr>
      <vt:lpstr>cs.SrSalary1</vt:lpstr>
      <vt:lpstr>cs.SrSalary2</vt:lpstr>
      <vt:lpstr>cs.SrSalary3</vt:lpstr>
      <vt:lpstr>cs.Sub1Yr1</vt:lpstr>
      <vt:lpstr>cs.Sub1Yr2</vt:lpstr>
      <vt:lpstr>cs.Sub1Yr3</vt:lpstr>
      <vt:lpstr>cs.Sub2Yr1</vt:lpstr>
      <vt:lpstr>cs.Sub2Yr2</vt:lpstr>
      <vt:lpstr>cs.Sub2Yr3</vt:lpstr>
      <vt:lpstr>cs.Sub3Yr1</vt:lpstr>
      <vt:lpstr>cs.Sub3Yr2</vt:lpstr>
      <vt:lpstr>cs.Sub3Yr3</vt:lpstr>
      <vt:lpstr>cs.Sub4Yr1</vt:lpstr>
      <vt:lpstr>cs.Sub4Yr2</vt:lpstr>
      <vt:lpstr>cs.Sub4Yr3</vt:lpstr>
      <vt:lpstr>cs.Sub5Yr1</vt:lpstr>
      <vt:lpstr>cs.Sub5Yr2</vt:lpstr>
      <vt:lpstr>cs.Sub5Yr3</vt:lpstr>
      <vt:lpstr>cs.SubsExcl1</vt:lpstr>
      <vt:lpstr>cs.SubsExcl2</vt:lpstr>
      <vt:lpstr>cs.SubsExcl3</vt:lpstr>
      <vt:lpstr>cs.SubsExcl4</vt:lpstr>
      <vt:lpstr>cs.SubsExcl5</vt:lpstr>
      <vt:lpstr>cs.SubsYr1Excl</vt:lpstr>
      <vt:lpstr>cs.SubsYr2Excl</vt:lpstr>
      <vt:lpstr>cs.SubsYr3Excl</vt:lpstr>
      <vt:lpstr>cs.SubTot1</vt:lpstr>
      <vt:lpstr>cs.SubTot2</vt:lpstr>
      <vt:lpstr>cs.SubTot3</vt:lpstr>
      <vt:lpstr>cs.TDCTot</vt:lpstr>
      <vt:lpstr>cs.TDCY1</vt:lpstr>
      <vt:lpstr>cs.TDCY2</vt:lpstr>
      <vt:lpstr>cs.TDCY3</vt:lpstr>
      <vt:lpstr>cs.Tot.Oth.Per.Ben.Tuit1</vt:lpstr>
      <vt:lpstr>cs.Tot.Oth.Per.Ben.Tuit2</vt:lpstr>
      <vt:lpstr>cs.Tot.Oth.Per.Ben.Tuit3</vt:lpstr>
      <vt:lpstr>cs.Tot.Oth.PerSalary1</vt:lpstr>
      <vt:lpstr>cs.Tot.Oth.PerSalary2</vt:lpstr>
      <vt:lpstr>cs.Tot.Oth.PerSalary3</vt:lpstr>
      <vt:lpstr>cs.Travel1</vt:lpstr>
      <vt:lpstr>cs.Travel2</vt:lpstr>
      <vt:lpstr>cs.Travel3</vt:lpstr>
      <vt:lpstr>cs.TravelTotal</vt:lpstr>
      <vt:lpstr>DomesticTravelTOT</vt:lpstr>
      <vt:lpstr>Equip1</vt:lpstr>
      <vt:lpstr>Equip2</vt:lpstr>
      <vt:lpstr>Equip3</vt:lpstr>
      <vt:lpstr>EquipTOT</vt:lpstr>
      <vt:lpstr>ExclSub1Yr1</vt:lpstr>
      <vt:lpstr>ExclSub1Yr2</vt:lpstr>
      <vt:lpstr>ExclSub1Yr3</vt:lpstr>
      <vt:lpstr>ExclSub2Yr1</vt:lpstr>
      <vt:lpstr>ExclSub2Yr2</vt:lpstr>
      <vt:lpstr>ExclSub2Yr3</vt:lpstr>
      <vt:lpstr>ExclSub3Yr1</vt:lpstr>
      <vt:lpstr>ExclSub3Yr2</vt:lpstr>
      <vt:lpstr>ExclSub3Yr3</vt:lpstr>
      <vt:lpstr>ExclSub4Yr1</vt:lpstr>
      <vt:lpstr>ExclSub4Yr2</vt:lpstr>
      <vt:lpstr>ExclSub4Yr3</vt:lpstr>
      <vt:lpstr>ExclSub5Yr1</vt:lpstr>
      <vt:lpstr>ExclSub5Yr2</vt:lpstr>
      <vt:lpstr>ExclSub5Yr3</vt:lpstr>
      <vt:lpstr>GRABenefits1</vt:lpstr>
      <vt:lpstr>GRABenefits2</vt:lpstr>
      <vt:lpstr>GRABenefits3</vt:lpstr>
      <vt:lpstr>GRABenefitsTOT</vt:lpstr>
      <vt:lpstr>IDCBase1</vt:lpstr>
      <vt:lpstr>IDCBase2</vt:lpstr>
      <vt:lpstr>IDCBase3</vt:lpstr>
      <vt:lpstr>IDCBaseTOT</vt:lpstr>
      <vt:lpstr>IDCRate</vt:lpstr>
      <vt:lpstr>IDCTOT</vt:lpstr>
      <vt:lpstr>IDCYr1</vt:lpstr>
      <vt:lpstr>IDCYr2</vt:lpstr>
      <vt:lpstr>IDCYr3</vt:lpstr>
      <vt:lpstr>InternatTravelTOT</vt:lpstr>
      <vt:lpstr>MatSupTOT</vt:lpstr>
      <vt:lpstr>MTDCbase</vt:lpstr>
      <vt:lpstr>MTDCBase1</vt:lpstr>
      <vt:lpstr>NICRARates</vt:lpstr>
      <vt:lpstr>Oth.PerBenefitsTuition1</vt:lpstr>
      <vt:lpstr>Oth.PerBenefitsTuition2</vt:lpstr>
      <vt:lpstr>Oth.PerBenefitsTuition3</vt:lpstr>
      <vt:lpstr>OtherDirCosts1</vt:lpstr>
      <vt:lpstr>OtherDirCosts2</vt:lpstr>
      <vt:lpstr>OtherDirCosts3</vt:lpstr>
      <vt:lpstr>OtherDirCostsTOT</vt:lpstr>
      <vt:lpstr>OtherGRASalary1</vt:lpstr>
      <vt:lpstr>OtherGRASalary2</vt:lpstr>
      <vt:lpstr>OtherGRASalary3</vt:lpstr>
      <vt:lpstr>OtherGRASalaryTOT</vt:lpstr>
      <vt:lpstr>OtherPersonnelBenefits1</vt:lpstr>
      <vt:lpstr>OtherPersonnelBenefits2</vt:lpstr>
      <vt:lpstr>OtherPersonnelBenefits3</vt:lpstr>
      <vt:lpstr>OtherPersonnelBenefitsTOT</vt:lpstr>
      <vt:lpstr>OtherPersonnelSalary2</vt:lpstr>
      <vt:lpstr>OtherPersonnelSalary3</vt:lpstr>
      <vt:lpstr>OtherPersonnnelSalary1</vt:lpstr>
      <vt:lpstr>OtherRate</vt:lpstr>
      <vt:lpstr>OtherSalary1</vt:lpstr>
      <vt:lpstr>OtherSalary2</vt:lpstr>
      <vt:lpstr>OtherSalary3</vt:lpstr>
      <vt:lpstr>OtherSalaryTot</vt:lpstr>
      <vt:lpstr>PIApptType</vt:lpstr>
      <vt:lpstr>PIBaseSalary</vt:lpstr>
      <vt:lpstr>PSCTOT</vt:lpstr>
      <vt:lpstr>PSCYr1</vt:lpstr>
      <vt:lpstr>PSCYr2</vt:lpstr>
      <vt:lpstr>PSCYr3</vt:lpstr>
      <vt:lpstr>RateOptions</vt:lpstr>
      <vt:lpstr>SrFringe1</vt:lpstr>
      <vt:lpstr>SrFringe2</vt:lpstr>
      <vt:lpstr>SrFringe3</vt:lpstr>
      <vt:lpstr>SrFringeTOT</vt:lpstr>
      <vt:lpstr>SrSalary1</vt:lpstr>
      <vt:lpstr>SrSalary2</vt:lpstr>
      <vt:lpstr>srSalary3</vt:lpstr>
      <vt:lpstr>SrSalaryTot</vt:lpstr>
      <vt:lpstr>Sub1TOT</vt:lpstr>
      <vt:lpstr>Sub1Yr1</vt:lpstr>
      <vt:lpstr>Sub1Yr2</vt:lpstr>
      <vt:lpstr>Sub1Yr3</vt:lpstr>
      <vt:lpstr>Sub2TOT</vt:lpstr>
      <vt:lpstr>Sub2Yr1</vt:lpstr>
      <vt:lpstr>Sub2Yr2</vt:lpstr>
      <vt:lpstr>Sub2Yr3</vt:lpstr>
      <vt:lpstr>Sub3TOT</vt:lpstr>
      <vt:lpstr>Sub3Yr1</vt:lpstr>
      <vt:lpstr>Sub3Yr2</vt:lpstr>
      <vt:lpstr>Sub3Yr3</vt:lpstr>
      <vt:lpstr>Sub4TOT</vt:lpstr>
      <vt:lpstr>Sub4Yr1</vt:lpstr>
      <vt:lpstr>Sub4Yr2</vt:lpstr>
      <vt:lpstr>Sub4Yr3</vt:lpstr>
      <vt:lpstr>Sub5TOT</vt:lpstr>
      <vt:lpstr>Sub5Yr1</vt:lpstr>
      <vt:lpstr>Sub5Yr2</vt:lpstr>
      <vt:lpstr>Sub5Yr3</vt:lpstr>
      <vt:lpstr>SubAwrdTtl1</vt:lpstr>
      <vt:lpstr>SubAwrdTtl2</vt:lpstr>
      <vt:lpstr>SubAwrdTtl3</vt:lpstr>
      <vt:lpstr>SubsYr1Excl</vt:lpstr>
      <vt:lpstr>SubsYr2Excl</vt:lpstr>
      <vt:lpstr>SubsYr3Excl</vt:lpstr>
      <vt:lpstr>TDCTOT</vt:lpstr>
      <vt:lpstr>TDCYr1</vt:lpstr>
      <vt:lpstr>TDCYr2</vt:lpstr>
      <vt:lpstr>TDCYr3</vt:lpstr>
      <vt:lpstr>TotalCostsTOT</vt:lpstr>
      <vt:lpstr>TotalCostsYr1</vt:lpstr>
      <vt:lpstr>TotalCostsYr2</vt:lpstr>
      <vt:lpstr>TotalCostsYr3</vt:lpstr>
      <vt:lpstr>Travel1</vt:lpstr>
      <vt:lpstr>Travel2</vt:lpstr>
      <vt:lpstr>Travel3</vt:lpstr>
      <vt:lpstr>TravelTOT</vt:lpstr>
      <vt:lpstr>Tuition1</vt:lpstr>
      <vt:lpstr>Tuition2</vt:lpstr>
      <vt:lpstr>Tuition3</vt:lpstr>
      <vt:lpstr>TuitionTOT</vt:lpstr>
    </vt:vector>
  </TitlesOfParts>
  <Manager/>
  <Company>Northern Arizona University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Northern Arizona University</dc:creator>
  <cp:keywords/>
  <dc:description/>
  <cp:lastModifiedBy>Elena Kristine Miranda</cp:lastModifiedBy>
  <cp:revision/>
  <dcterms:created xsi:type="dcterms:W3CDTF">2003-10-28T16:25:37Z</dcterms:created>
  <dcterms:modified xsi:type="dcterms:W3CDTF">2025-08-27T22:29:52Z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0x010100C3A01F4FA7C9454A8938C55A82822659</vt:lpwstr>
  </property>
  <property fmtid="{D5CDD505-2E9C-101B-9397-08002B2CF9AE}" pid="3" name="MediaServiceImageTags">
    <vt:lpwstr/>
  </property>
</Properties>
</file>