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autoCompressPictures="0"/>
  <mc:AlternateContent xmlns:mc="http://schemas.openxmlformats.org/markup-compatibility/2006">
    <mc:Choice Requires="x15">
      <x15ac:absPath xmlns:x15ac="http://schemas.microsoft.com/office/spreadsheetml/2010/11/ac" url="C:\Users\ekm235\Downloads\"/>
    </mc:Choice>
  </mc:AlternateContent>
  <xr:revisionPtr revIDLastSave="0" documentId="13_ncr:1_{C17F7785-CBB9-48A1-8B60-ECC883031DCA}" xr6:coauthVersionLast="47" xr6:coauthVersionMax="47" xr10:uidLastSave="{00000000-0000-0000-0000-000000000000}"/>
  <bookViews>
    <workbookView xWindow="-120" yWindow="-120" windowWidth="29040" windowHeight="15720" tabRatio="611" xr2:uid="{00000000-000D-0000-FFFF-FFFF00000000}"/>
  </bookViews>
  <sheets>
    <sheet name="Start Here" sheetId="4" r:id="rId1"/>
    <sheet name="Budget Details" sheetId="1" r:id="rId2"/>
    <sheet name="Cumulative" sheetId="6" r:id="rId3"/>
    <sheet name=" Travel Calculator" sheetId="8" r:id="rId4"/>
    <sheet name="Summary_of_Personnel Costs " sheetId="9" state="hidden" r:id="rId5"/>
    <sheet name="Rates" sheetId="7" state="hidden" r:id="rId6"/>
  </sheets>
  <definedNames>
    <definedName name="CompSvcsTot">'Budget Details'!$AN$186</definedName>
    <definedName name="ConsultantTot">'Budget Details'!$AN$185</definedName>
    <definedName name="cs.Equip1">'Budget Details'!$AP$159</definedName>
    <definedName name="cs.Equip10">'Budget Details'!$AY$159</definedName>
    <definedName name="cs.Equip2">'Budget Details'!$AQ$159</definedName>
    <definedName name="cs.Equip3">'Budget Details'!$AR$159</definedName>
    <definedName name="cs.Equip4">'Budget Details'!$AS$159</definedName>
    <definedName name="cs.Equip5">'Budget Details'!$AT$159</definedName>
    <definedName name="cs.Equip6">'Budget Details'!$AU$159</definedName>
    <definedName name="cs.Equip7">'Budget Details'!$AV$159</definedName>
    <definedName name="cs.Equip8">'Budget Details'!$AW$159</definedName>
    <definedName name="cs.Equip9">'Budget Details'!$AX$159</definedName>
    <definedName name="cs.EquipTot">'Budget Details'!$AZ$159</definedName>
    <definedName name="cs.ExclSub1Yr1">'Budget Details'!$AP$198</definedName>
    <definedName name="cs.ExclSub1Yr10">'Budget Details'!$AY$198</definedName>
    <definedName name="cs.ExclSub1Yr2">'Budget Details'!$AQ$198</definedName>
    <definedName name="cs.ExclSub1Yr3">'Budget Details'!$AR$198</definedName>
    <definedName name="cs.ExclSub1Yr4">'Budget Details'!$AS$198</definedName>
    <definedName name="cs.ExclSub1Yr5">'Budget Details'!$AT$198</definedName>
    <definedName name="cs.ExclSub1Yr6">'Budget Details'!$AU$198</definedName>
    <definedName name="cs.ExclSub1Yr7">'Budget Details'!$AV$198</definedName>
    <definedName name="cs.ExclSub1Yr8">'Budget Details'!$AW$198</definedName>
    <definedName name="cs.ExclSub1Yr9">'Budget Details'!$AX$198</definedName>
    <definedName name="cs.ExclSub2Yr1">'Budget Details'!$AP$200</definedName>
    <definedName name="cs.ExclSub2Yr10">'Budget Details'!$AY$200</definedName>
    <definedName name="cs.ExclSub2Yr2">'Budget Details'!$AQ$200</definedName>
    <definedName name="cs.ExclSub2Yr3">'Budget Details'!$AR$200</definedName>
    <definedName name="cs.ExclSub2Yr4">'Budget Details'!$AS$200</definedName>
    <definedName name="cs.ExclSub2Yr5">'Budget Details'!$AT$200</definedName>
    <definedName name="cs.ExclSub2Yr6">'Budget Details'!$AU$200</definedName>
    <definedName name="cs.ExclSub2Yr7">'Budget Details'!$AV$200</definedName>
    <definedName name="cs.ExclSub2Yr8">'Budget Details'!$AW$200</definedName>
    <definedName name="cs.ExclSub2Yr9">'Budget Details'!$AX$200</definedName>
    <definedName name="cs.ExclSub3Yr1">'Budget Details'!$AP$202</definedName>
    <definedName name="cs.ExclSub3Yr10">'Budget Details'!$AY$202</definedName>
    <definedName name="cs.ExclSub3Yr2">'Budget Details'!$AQ$202</definedName>
    <definedName name="cs.ExclSub3Yr3">'Budget Details'!$AR$202</definedName>
    <definedName name="cs.ExclSub3Yr4">'Budget Details'!$AS$202</definedName>
    <definedName name="cs.ExclSub3Yr5">'Budget Details'!$AT$202</definedName>
    <definedName name="cs.ExclSub3Yr6">'Budget Details'!$AU$202</definedName>
    <definedName name="cs.ExclSub3Yr7">'Budget Details'!$AV$202</definedName>
    <definedName name="cs.ExclSub3Yr8">'Budget Details'!$AW$202</definedName>
    <definedName name="cs.ExclSub3Yr9">'Budget Details'!$AX$202</definedName>
    <definedName name="cs.ExclSub4Yr1">'Budget Details'!$AP$204</definedName>
    <definedName name="cs.ExclSub4Yr10">'Budget Details'!$AY$204</definedName>
    <definedName name="cs.ExclSub4Yr2">'Budget Details'!$AQ$204</definedName>
    <definedName name="cs.ExclSub4Yr3">'Budget Details'!$AR$204</definedName>
    <definedName name="cs.ExclSub4Yr4">'Budget Details'!$AS$204</definedName>
    <definedName name="cs.ExclSub4Yr5">'Budget Details'!$AT$204</definedName>
    <definedName name="cs.ExclSub4Yr6">'Budget Details'!$AU$204</definedName>
    <definedName name="cs.ExclSub4Yr7">'Budget Details'!$AV$204</definedName>
    <definedName name="cs.ExclSub4Yr8">'Budget Details'!$AW$204</definedName>
    <definedName name="cs.ExclSub4Yr9">'Budget Details'!$AX$204</definedName>
    <definedName name="cs.ExclSub5Yr1">'Budget Details'!$AP$206</definedName>
    <definedName name="cs.ExclSub5Yr10">'Budget Details'!$AY$206</definedName>
    <definedName name="cs.ExclSub5Yr2">'Budget Details'!$AQ$206</definedName>
    <definedName name="cs.ExclSub5Yr3">'Budget Details'!$AR$206</definedName>
    <definedName name="cs.ExclSub5Yr4">'Budget Details'!$AS$206</definedName>
    <definedName name="cs.ExclSub5Yr5">'Budget Details'!$AT$206</definedName>
    <definedName name="cs.ExclSub5Yr6">'Budget Details'!$AU$206</definedName>
    <definedName name="cs.ExclSub5Yr7">'Budget Details'!$AV$206</definedName>
    <definedName name="cs.ExclSub5Yr8">'Budget Details'!$AV$206</definedName>
    <definedName name="cs.ExclSub5Yr9">'Budget Details'!$AX$206</definedName>
    <definedName name="cs.ForgoneIdcCalculation1">'Budget Details'!$AP$212</definedName>
    <definedName name="cs.ForgoneIdcCalculation10">'Budget Details'!$AY$212</definedName>
    <definedName name="cs.ForgoneIdcCalculation2">'Budget Details'!$AQ$212</definedName>
    <definedName name="cs.ForgoneIdcCalculation3">'Budget Details'!$AR$212</definedName>
    <definedName name="cs.ForgoneIdcCalculation4">'Budget Details'!$AS$212</definedName>
    <definedName name="cs.ForgoneIdcCalculation5">'Budget Details'!$AT$212</definedName>
    <definedName name="cs.ForgoneIdcCalculation6">'Budget Details'!$AU$212</definedName>
    <definedName name="cs.ForgoneIdcCalculation7">'Budget Details'!$AV$212</definedName>
    <definedName name="cs.ForgoneIdcCalculation8">'Budget Details'!$AW$212</definedName>
    <definedName name="cs.ForgoneIdcCalculation9">'Budget Details'!$AX$212</definedName>
    <definedName name="cs.ForgoneIdcCalculationTot">'Budget Details'!$AZ$212</definedName>
    <definedName name="cs.GRA.Tuition1">'Budget Details'!$AP$150</definedName>
    <definedName name="cs.GRA.Tuition10">'Budget Details'!$AY$150</definedName>
    <definedName name="cs.GRA.Tuition2">'Budget Details'!$AQ$150</definedName>
    <definedName name="cs.GRA.Tuition3">'Budget Details'!$AR$150</definedName>
    <definedName name="cs.GRA.Tuition4">'Budget Details'!$AS$150</definedName>
    <definedName name="cs.GRA.Tuition5">'Budget Details'!$AT$150</definedName>
    <definedName name="cs.GRA.Tuition6">'Budget Details'!$AU$150</definedName>
    <definedName name="cs.GRA.Tuition7">'Budget Details'!$AV$150</definedName>
    <definedName name="cs.GRA.Tuition8">'Budget Details'!$AW$150</definedName>
    <definedName name="cs.GRA.Tuition9">'Budget Details'!$AX$150</definedName>
    <definedName name="cs.GRA.TutionTot">'Budget Details'!$AZ$150</definedName>
    <definedName name="cs.GRABenefits1">'Budget Details'!$AP$137</definedName>
    <definedName name="cs.GRABenefits10">'Budget Details'!$AY$137</definedName>
    <definedName name="cs.GRABenefits2">'Budget Details'!$AQ$137</definedName>
    <definedName name="cs.GRABenefits3">'Budget Details'!$AR$137</definedName>
    <definedName name="cs.GRABenefits4">'Budget Details'!$AS$137</definedName>
    <definedName name="cs.GRABenefits5">'Budget Details'!$AT$137</definedName>
    <definedName name="cs.GRABenefits6">'Budget Details'!$AU$137</definedName>
    <definedName name="cs.GRABenefits7">'Budget Details'!$AV$137</definedName>
    <definedName name="cs.GRABenefits8">'Budget Details'!$AW$137</definedName>
    <definedName name="cs.GRABenefits9">'Budget Details'!$AX$137</definedName>
    <definedName name="cs.GRABenefitsToT">'Budget Details'!$AZ$137</definedName>
    <definedName name="cs.GRASalary1">'Budget Details'!$AP$67</definedName>
    <definedName name="cs.GRASalary10">'Budget Details'!$AY$67</definedName>
    <definedName name="cs.GRASalary2">'Budget Details'!$AQ$67</definedName>
    <definedName name="cs.GRASalary3">'Budget Details'!$AR$67</definedName>
    <definedName name="cs.GRASalary4">'Budget Details'!$AS$67</definedName>
    <definedName name="cs.GRASalary5">'Budget Details'!$AT$67</definedName>
    <definedName name="cs.GRASalary6">'Budget Details'!$AU$67</definedName>
    <definedName name="cs.GRASalary7">'Budget Details'!$AV$67</definedName>
    <definedName name="cs.GRASalary8">'Budget Details'!$AW$67</definedName>
    <definedName name="cs.GRASalary9">'Budget Details'!$AX$67</definedName>
    <definedName name="cs.GRASalaryToT">'Budget Details'!$AZ$67</definedName>
    <definedName name="cs.IDCbase1">'Budget Details'!$AP$210</definedName>
    <definedName name="cs.IDCbase10">'Budget Details'!$AY$210</definedName>
    <definedName name="cs.IDCbase2">'Budget Details'!$AQ$210</definedName>
    <definedName name="cs.IDCbase3">'Budget Details'!$AR$210</definedName>
    <definedName name="cs.IDCbase4">'Budget Details'!$AS$210</definedName>
    <definedName name="cs.IDCbase5">'Budget Details'!$AT$210</definedName>
    <definedName name="cs.IDCbase6">'Budget Details'!$AU$210</definedName>
    <definedName name="cs.IDCbase7">'Budget Details'!$AV$210</definedName>
    <definedName name="cs.IDCbase8">'Budget Details'!$AW$210</definedName>
    <definedName name="cs.IDCbase9">'Budget Details'!$AX$210</definedName>
    <definedName name="cs.IDCbaseTot">'Budget Details'!$AZ$210</definedName>
    <definedName name="cs.IDCTot">'Budget Details'!$AZ$211</definedName>
    <definedName name="cs.IDCYr1">'Budget Details'!$AP$211</definedName>
    <definedName name="cs.IDCYr10">'Budget Details'!$AY$211</definedName>
    <definedName name="cs.IDCYr2">'Budget Details'!$AQ$211</definedName>
    <definedName name="cs.IDCYr3">'Budget Details'!$AR$211</definedName>
    <definedName name="cs.IDCYr4">'Budget Details'!$AS$211</definedName>
    <definedName name="cs.IDCYr5">'Budget Details'!$AT$211</definedName>
    <definedName name="cs.IDCYr6">'Budget Details'!$AU$211</definedName>
    <definedName name="cs.IDCYr7">'Budget Details'!$AV$211</definedName>
    <definedName name="cs.IDCYr8">'Budget Details'!$AW$211</definedName>
    <definedName name="cs.IDCYr9">'Budget Details'!$AX$211</definedName>
    <definedName name="cs.NICRARate">'Budget Details'!$BP$212</definedName>
    <definedName name="cs.Oth.Fringe1">'Budget Details'!$AP$114</definedName>
    <definedName name="cs.Oth.Fringe10">'Budget Details'!$AY$114</definedName>
    <definedName name="cs.Oth.Fringe2">'Budget Details'!$AQ$114</definedName>
    <definedName name="cs.Oth.Fringe3">'Budget Details'!$AR$114</definedName>
    <definedName name="cs.Oth.Fringe4">'Budget Details'!$AS$114</definedName>
    <definedName name="cs.Oth.Fringe5">'Budget Details'!$AT$114</definedName>
    <definedName name="cs.Oth.Fringe6">'Budget Details'!$AU$114</definedName>
    <definedName name="cs.Oth.Fringe7">'Budget Details'!$AV$114</definedName>
    <definedName name="cs.Oth.Fringe8">'Budget Details'!$AW$114</definedName>
    <definedName name="cs.Oth.Fringe9">'Budget Details'!$AX$114</definedName>
    <definedName name="cs.Oth.FringeTot">'Budget Details'!$AZ$114</definedName>
    <definedName name="cs.Oth.Salary1">'Budget Details'!$AP$54</definedName>
    <definedName name="cs.Oth.Salary10">'Budget Details'!$AY$54</definedName>
    <definedName name="cs.Oth.Salary2">'Budget Details'!$AQ$54</definedName>
    <definedName name="cs.Oth.Salary3">'Budget Details'!$AR$54</definedName>
    <definedName name="cs.Oth.Salary4">'Budget Details'!$AS$54</definedName>
    <definedName name="cs.Oth.Salary5">'Budget Details'!$AT$54</definedName>
    <definedName name="cs.Oth.Salary6">'Budget Details'!$AU$54</definedName>
    <definedName name="cs.Oth.Salary7">'Budget Details'!$AV$54</definedName>
    <definedName name="cs.Oth.Salary8">'Budget Details'!$AW$54</definedName>
    <definedName name="cs.Oth.Salary9">'Budget Details'!$AX$54</definedName>
    <definedName name="cs.Oth.SalaryTot">'Budget Details'!$AZ$54</definedName>
    <definedName name="cs.OthDirCost1">'Budget Details'!$AP$195</definedName>
    <definedName name="cs.OthDirCost10">'Budget Details'!$AY$195</definedName>
    <definedName name="cs.OthDirCost2">'Budget Details'!$AQ$195</definedName>
    <definedName name="cs.OthDirCost3">'Budget Details'!$AR$195</definedName>
    <definedName name="cs.OthDirCost4">'Budget Details'!$AS$195</definedName>
    <definedName name="cs.OthDirCost5">'Budget Details'!$AT$195</definedName>
    <definedName name="cs.OthDirCost6">'Budget Details'!$AU$195</definedName>
    <definedName name="cs.OthDirCost7">'Budget Details'!$AV$195</definedName>
    <definedName name="cs.OthDirCost8">'Budget Details'!$AW$195</definedName>
    <definedName name="cs.OthDirCost9">'Budget Details'!$AX$195</definedName>
    <definedName name="cs.OthDirCostTot">'Budget Details'!$AZ$195</definedName>
    <definedName name="cs.OtherRates">'Budget Details'!$BR$211</definedName>
    <definedName name="cs.PSCTot">'Budget Details'!$AZ$176</definedName>
    <definedName name="cs.PSCYr1">'Budget Details'!$AP$176</definedName>
    <definedName name="cs.PSCYr10">'Budget Details'!$AY$176</definedName>
    <definedName name="cs.PSCYr2">'Budget Details'!$AQ$176</definedName>
    <definedName name="cs.PSCYr3">'Budget Details'!$AR$176</definedName>
    <definedName name="cs.PSCYr4">'Budget Details'!$AS$176</definedName>
    <definedName name="cs.PSCYr5">'Budget Details'!$AT$176</definedName>
    <definedName name="cs.PSCYr6">'Budget Details'!$AU$168</definedName>
    <definedName name="cs.PSCYr7">'Budget Details'!$AV$176</definedName>
    <definedName name="cs.PSCYr8">'Budget Details'!$AW$176</definedName>
    <definedName name="cs.PSCYr9">'Budget Details'!$AX$176</definedName>
    <definedName name="cs.RateOptions">'Budget Details'!$BL$211</definedName>
    <definedName name="cs.SrFringe1">'Budget Details'!$AP$91</definedName>
    <definedName name="cs.SrFringe10">'Budget Details'!$AY$91</definedName>
    <definedName name="cs.SrFringe2">'Budget Details'!$AQ$91</definedName>
    <definedName name="cs.SrFringe3">'Budget Details'!$AR$91</definedName>
    <definedName name="cs.SrFringe4">'Budget Details'!$AS$91</definedName>
    <definedName name="cs.SrFringe5">'Budget Details'!$AT$91</definedName>
    <definedName name="cs.SrFringe6">'Budget Details'!$AU$91</definedName>
    <definedName name="cs.SrFringe7">'Budget Details'!$AV$91</definedName>
    <definedName name="cs.SrFringe8">'Budget Details'!$AW$91</definedName>
    <definedName name="cs.SrFringe9">'Budget Details'!$AX$91</definedName>
    <definedName name="cs.SrFringeTot">'Budget Details'!$AZ$91</definedName>
    <definedName name="cs.SrSalary1">'Budget Details'!$AP$31</definedName>
    <definedName name="cs.SrSalary10">'Budget Details'!$AY$31</definedName>
    <definedName name="cs.SrSalary2">'Budget Details'!$AQ$31</definedName>
    <definedName name="cs.SrSalary3">'Budget Details'!$AR$31</definedName>
    <definedName name="cs.SrSalary4">'Budget Details'!$AS$31</definedName>
    <definedName name="cs.SrSalary5">'Budget Details'!$AT$31</definedName>
    <definedName name="cs.SrSalary6">'Budget Details'!$AU$31</definedName>
    <definedName name="cs.SrSalary7">'Budget Details'!$AV$31</definedName>
    <definedName name="cs.SrSalary8">'Budget Details'!$AW$31</definedName>
    <definedName name="cs.SrSalary9">'Budget Details'!$AX$31</definedName>
    <definedName name="cs.SrSalaryTot">'Budget Details'!$AZ$31</definedName>
    <definedName name="cs.Sub1Yr1">'Budget Details'!$AP$197</definedName>
    <definedName name="cs.Sub1Yr10">'Budget Details'!$AY$197</definedName>
    <definedName name="cs.Sub1Yr2">'Budget Details'!$AQ$197</definedName>
    <definedName name="cs.Sub1Yr3">'Budget Details'!$AR$197</definedName>
    <definedName name="cs.Sub1Yr4">'Budget Details'!$AS$197</definedName>
    <definedName name="cs.Sub1Yr5">'Budget Details'!$AT$197</definedName>
    <definedName name="cs.Sub1Yr6">'Budget Details'!$AU$197</definedName>
    <definedName name="cs.Sub1Yr7">'Budget Details'!$AV$197</definedName>
    <definedName name="cs.Sub1Yr8">'Budget Details'!$AW$197</definedName>
    <definedName name="cs.Sub1Yr9">'Budget Details'!$AX$197</definedName>
    <definedName name="cs.Sub2Yr1">'Budget Details'!$AP$199</definedName>
    <definedName name="cs.Sub2Yr10">'Budget Details'!$AY$199</definedName>
    <definedName name="cs.Sub2Yr2">'Budget Details'!$AQ$199</definedName>
    <definedName name="cs.Sub2Yr3">'Budget Details'!$AR$199</definedName>
    <definedName name="cs.Sub2Yr4">'Budget Details'!$AS$199</definedName>
    <definedName name="cs.Sub2Yr5">'Budget Details'!$AT$199</definedName>
    <definedName name="cs.Sub2Yr6">'Budget Details'!$AU$199</definedName>
    <definedName name="cs.Sub2Yr7">'Budget Details'!$AV$199</definedName>
    <definedName name="cs.Sub2Yr8">'Budget Details'!$AW$199</definedName>
    <definedName name="cs.Sub2Yr9">'Budget Details'!$AX$199</definedName>
    <definedName name="cs.Sub3Yr1">'Budget Details'!$AP$201</definedName>
    <definedName name="cs.Sub3Yr10">'Budget Details'!$AY$201</definedName>
    <definedName name="cs.Sub3Yr2">'Budget Details'!$AQ$201</definedName>
    <definedName name="cs.Sub3Yr3">'Budget Details'!$AR$201</definedName>
    <definedName name="cs.Sub3Yr4">'Budget Details'!$AS$201</definedName>
    <definedName name="cs.Sub3Yr5">'Budget Details'!$AT$201</definedName>
    <definedName name="cs.Sub3Yr6">'Budget Details'!$AU$201</definedName>
    <definedName name="cs.Sub3Yr7">'Budget Details'!$AV$201</definedName>
    <definedName name="cs.Sub3Yr8">'Budget Details'!$AW$201</definedName>
    <definedName name="cs.Sub3Yr9">'Budget Details'!$AX$201</definedName>
    <definedName name="cs.Sub4Yr1">'Budget Details'!$AP$203</definedName>
    <definedName name="cs.Sub4Yr10">'Budget Details'!$AY$203</definedName>
    <definedName name="cs.Sub4Yr2">'Budget Details'!$AQ$203</definedName>
    <definedName name="cs.Sub4Yr3">'Budget Details'!$AR$203</definedName>
    <definedName name="cs.Sub4Yr4">'Budget Details'!$AS$203</definedName>
    <definedName name="cs.Sub4Yr5">'Budget Details'!$AT$203</definedName>
    <definedName name="cs.Sub4Yr6">'Budget Details'!$AU$203</definedName>
    <definedName name="cs.Sub4Yr7">'Budget Details'!$AV$203</definedName>
    <definedName name="cs.Sub4Yr8">'Budget Details'!$AW$203</definedName>
    <definedName name="cs.Sub4Yr9">'Budget Details'!$AX$203</definedName>
    <definedName name="cs.Sub5Yr1">'Budget Details'!$AP$205</definedName>
    <definedName name="cs.Sub5Yr10">'Budget Details'!$AY$205</definedName>
    <definedName name="cs.Sub5Yr2">'Budget Details'!$AQ$205</definedName>
    <definedName name="cs.Sub5Yr3">'Budget Details'!$AR$205</definedName>
    <definedName name="cs.Sub5Yr4">'Budget Details'!$AS$205</definedName>
    <definedName name="cs.Sub5Yr5">'Budget Details'!$AT$205</definedName>
    <definedName name="cs.Sub5Yr6">'Budget Details'!$AU$205</definedName>
    <definedName name="cs.Sub5Yr7">'Budget Details'!$AV$205</definedName>
    <definedName name="cs.Sub5Yr8">'Budget Details'!$AW$205</definedName>
    <definedName name="cs.Sub5Yr9">'Budget Details'!$AX$205</definedName>
    <definedName name="cs.SubsExcl1">'Budget Details'!$AP$206,'Budget Details'!$AP$204,'Budget Details'!$AP$202,'Budget Details'!$AP$200,'Budget Details'!$AP$198</definedName>
    <definedName name="cs.SubsExcl10">'Budget Details'!$AY$198,'Budget Details'!$AY$200,'Budget Details'!$AY$202,'Budget Details'!$AY$204,'Budget Details'!$AY$206</definedName>
    <definedName name="cs.SubsExcl2">'Budget Details'!$AQ$206,'Budget Details'!$AQ$204,'Budget Details'!$AQ$202,'Budget Details'!$AQ$200,'Budget Details'!$AQ$198</definedName>
    <definedName name="cs.SubsExcl3">'Budget Details'!$AR$206,'Budget Details'!$AR$204,'Budget Details'!$AR$202,'Budget Details'!$AR$200,'Budget Details'!$AR$198</definedName>
    <definedName name="cs.SubsExcl4">'Budget Details'!$AS$198,'Budget Details'!$AS$200,'Budget Details'!$AS$202,'Budget Details'!$AS$204,'Budget Details'!$AS$206</definedName>
    <definedName name="cs.SubsExcl5">'Budget Details'!$AT$198,'Budget Details'!$AT$200,'Budget Details'!$AT$202,'Budget Details'!$AT$204,'Budget Details'!$AT$206</definedName>
    <definedName name="cs.SubsExcl6">'Budget Details'!$AU$198,'Budget Details'!$AU$200,'Budget Details'!$AU$202,'Budget Details'!$AU$204,'Budget Details'!$AU$206</definedName>
    <definedName name="cs.SubsExcl7">'Budget Details'!$AV$198,'Budget Details'!$AV$200,'Budget Details'!$AV$202,'Budget Details'!$AV$204,'Budget Details'!$AV$206</definedName>
    <definedName name="cs.SubsExcl8">'Budget Details'!$AW$198,'Budget Details'!$AW$200,'Budget Details'!$AW$202,'Budget Details'!$AW$204,'Budget Details'!$AW$206</definedName>
    <definedName name="cs.SubsExcl9">'Budget Details'!$AX$198,'Budget Details'!$AX$200,'Budget Details'!$AX$202,'Budget Details'!$AX$204,'Budget Details'!$AX$206</definedName>
    <definedName name="cs.SubTot1">'Budget Details'!$AP$207</definedName>
    <definedName name="cs.SubTot10">'Budget Details'!$AY$207</definedName>
    <definedName name="cs.SubTot2">'Budget Details'!$AQ$207</definedName>
    <definedName name="cs.SubTot3">'Budget Details'!$AR$207</definedName>
    <definedName name="cs.SubTot4">'Budget Details'!$AS$207</definedName>
    <definedName name="cs.SubTot5">'Budget Details'!$AT$207</definedName>
    <definedName name="cs.SubTot6">'Budget Details'!$AU$207</definedName>
    <definedName name="cs.SubTot7">'Budget Details'!$AV$207</definedName>
    <definedName name="cs.SubTot8">'Budget Details'!$AW$207</definedName>
    <definedName name="cs.SubTot9">'Budget Details'!$AX$207</definedName>
    <definedName name="cs.SubTotCombined">'Budget Details'!$AZ$207</definedName>
    <definedName name="cs.TDCTot">'Budget Details'!$AZ$208</definedName>
    <definedName name="cs.TDCY1">'Budget Details'!$AP$208</definedName>
    <definedName name="cs.TDCY10">'Budget Details'!$AY$208</definedName>
    <definedName name="cs.TDCY2">'Budget Details'!$AQ$208</definedName>
    <definedName name="cs.TDCY3">'Budget Details'!$AR$208</definedName>
    <definedName name="cs.TDCY4">'Budget Details'!$AS$208</definedName>
    <definedName name="cs.TDCY5">'Budget Details'!$AT$208</definedName>
    <definedName name="cs.TDCY6">'Budget Details'!$AU$208</definedName>
    <definedName name="cs.TDCY7">'Budget Details'!$AV$208</definedName>
    <definedName name="cs.TDCY8">'Budget Details'!$AW$208</definedName>
    <definedName name="cs.TDCY9">'Budget Details'!$AX$208</definedName>
    <definedName name="cs.Tot.Oth.Per.Ben.Tuit.Tot">'Budget Details'!$AZ$151</definedName>
    <definedName name="cs.Tot.Oth.Per.Ben.Tuit1">'Budget Details'!$AP$151</definedName>
    <definedName name="cs.Tot.Oth.Per.Ben.Tuit10">'Budget Details'!$AY$151</definedName>
    <definedName name="cs.Tot.Oth.Per.Ben.Tuit2">'Budget Details'!$AQ$151</definedName>
    <definedName name="cs.Tot.Oth.Per.Ben.Tuit3">'Budget Details'!$AR$151</definedName>
    <definedName name="cs.Tot.Oth.Per.Ben.Tuit4">'Budget Details'!$AS$151</definedName>
    <definedName name="cs.Tot.Oth.Per.Ben.Tuit5">'Budget Details'!$AT$151</definedName>
    <definedName name="cs.Tot.Oth.Per.Ben.Tuit6">'Budget Details'!$AU$151</definedName>
    <definedName name="cs.Tot.Oth.Per.Ben.Tuit7">'Budget Details'!$AV$151</definedName>
    <definedName name="cs.Tot.Oth.Per.Ben.Tuit8">'Budget Details'!$AW$151</definedName>
    <definedName name="cs.Tot.Oth.Per.Ben.Tuit9">'Budget Details'!$AX$151</definedName>
    <definedName name="cs.Tot.Oth.PerSalary1">'Budget Details'!$AP$68</definedName>
    <definedName name="cs.Tot.Oth.PerSalary10">'Budget Details'!$AY$54</definedName>
    <definedName name="cs.Tot.Oth.PerSalary2">'Budget Details'!$AQ$68</definedName>
    <definedName name="cs.Tot.Oth.PerSalary3">'Budget Details'!$AR$68</definedName>
    <definedName name="cs.Tot.Oth.PerSalary4">'Budget Details'!$AS$68</definedName>
    <definedName name="cs.Tot.Oth.PerSalary5">'Budget Details'!$AT$68</definedName>
    <definedName name="cs.Tot.Oth.PerSalary6">'Budget Details'!$AU$54</definedName>
    <definedName name="cs.Tot.Oth.PerSalary7">'Budget Details'!$AW$54</definedName>
    <definedName name="cs.Tot.Oth.PerSalary8">'Budget Details'!$AW$68</definedName>
    <definedName name="cs.Tot.Oth.PerSalary9">'Budget Details'!$AX$54</definedName>
    <definedName name="cs.Tot.Oth.PerSalaryTot">'Budget Details'!$AZ$68</definedName>
    <definedName name="cs.Travel1">'Budget Details'!$AP$168</definedName>
    <definedName name="cs.Travel10">'Budget Details'!$AY$168</definedName>
    <definedName name="cs.Travel2">'Budget Details'!$AQ$168</definedName>
    <definedName name="cs.Travel3">'Budget Details'!$AR$168</definedName>
    <definedName name="cs.Travel4">'Budget Details'!$AS$168</definedName>
    <definedName name="cs.Travel5">'Budget Details'!$AT$168</definedName>
    <definedName name="cs.Travel6">'Budget Details'!$AU$168</definedName>
    <definedName name="cs.Travel7">'Budget Details'!$AV$168</definedName>
    <definedName name="cs.Travel8">'Budget Details'!$AW$168</definedName>
    <definedName name="cs.Travel9">'Budget Details'!$AX$168</definedName>
    <definedName name="cs.TravelTot">'Budget Details'!$AZ$168</definedName>
    <definedName name="DomesticTravelTOT">'Budget Details'!$AN$162</definedName>
    <definedName name="Equip1">'Budget Details'!$AD$159</definedName>
    <definedName name="Equip10">'Budget Details'!$AM$159</definedName>
    <definedName name="Equip2">'Budget Details'!$AE$159</definedName>
    <definedName name="Equip3">'Budget Details'!$AF$159</definedName>
    <definedName name="Equip4">'Budget Details'!$AG$159</definedName>
    <definedName name="Equip5">'Budget Details'!$AH$159</definedName>
    <definedName name="Equip6">'Budget Details'!$AI$159</definedName>
    <definedName name="Equip7">'Budget Details'!$AJ$159</definedName>
    <definedName name="Equip8">'Budget Details'!$AK$159</definedName>
    <definedName name="Equip9">'Budget Details'!$AL$159</definedName>
    <definedName name="EquipTOT">'Budget Details'!$AN$159</definedName>
    <definedName name="ExclSub1ToT">'Budget Details'!$AN$198</definedName>
    <definedName name="ExclSub1Yr1">'Budget Details'!$AD$198</definedName>
    <definedName name="ExclSub1Yr10">'Budget Details'!$AM$198</definedName>
    <definedName name="ExclSub1Yr2">'Budget Details'!$AE$198</definedName>
    <definedName name="ExclSub1Yr3">'Budget Details'!$AF$198</definedName>
    <definedName name="ExclSub1Yr4">'Budget Details'!$AG$198</definedName>
    <definedName name="ExclSub1Yr5">'Budget Details'!$AH$198</definedName>
    <definedName name="ExclSub1Yr6">'Budget Details'!$AI$198</definedName>
    <definedName name="ExclSub1Yr7">'Budget Details'!$AJ$198</definedName>
    <definedName name="ExclSub1Yr8">'Budget Details'!$AK$198</definedName>
    <definedName name="ExclSub1Yr9">'Budget Details'!$AL$198</definedName>
    <definedName name="ExclSub2ToT">'Budget Details'!$AN$200</definedName>
    <definedName name="ExclSub2Yr1">'Budget Details'!$AD$200</definedName>
    <definedName name="ExclSub2Yr10">'Budget Details'!$AM$200</definedName>
    <definedName name="ExclSub2Yr2">'Budget Details'!$AE$200</definedName>
    <definedName name="ExclSub2Yr3">'Budget Details'!$AF$200</definedName>
    <definedName name="ExclSub2Yr4">'Budget Details'!$AG$200</definedName>
    <definedName name="ExclSub2Yr5">'Budget Details'!$AH$200</definedName>
    <definedName name="ExclSub2Yr6">'Budget Details'!$AI$200</definedName>
    <definedName name="ExclSub2Yr7">'Budget Details'!$AJ$200</definedName>
    <definedName name="ExclSub2Yr8">'Budget Details'!$AK$200</definedName>
    <definedName name="ExclSub2Yr9">'Budget Details'!$AL$200</definedName>
    <definedName name="ExclSub3ToT">'Budget Details'!$AN$202</definedName>
    <definedName name="ExclSub3Yr1">'Budget Details'!$AD$202</definedName>
    <definedName name="ExclSub3Yr10">'Budget Details'!$AM$202</definedName>
    <definedName name="ExclSub3Yr2">'Budget Details'!$AE$202</definedName>
    <definedName name="ExclSub3Yr3">'Budget Details'!$AF$202</definedName>
    <definedName name="ExclSub3Yr4">'Budget Details'!$AG$202</definedName>
    <definedName name="ExclSub3Yr5">'Budget Details'!$AH$202</definedName>
    <definedName name="ExclSub3Yr6">'Budget Details'!$AI$202</definedName>
    <definedName name="ExclSub3Yr7">'Budget Details'!$AJ$202</definedName>
    <definedName name="ExclSub3Yr8">'Budget Details'!$AK$202</definedName>
    <definedName name="ExclSub3Yr9">'Budget Details'!$AL$202</definedName>
    <definedName name="ExclSub4ToT">'Budget Details'!$AN$204</definedName>
    <definedName name="ExclSub4Yr1">'Budget Details'!$AD$204</definedName>
    <definedName name="ExclSub4Yr10">'Budget Details'!$AM$204</definedName>
    <definedName name="ExclSub4Yr2">'Budget Details'!$AE$204</definedName>
    <definedName name="ExclSub4Yr3">'Budget Details'!$AF$204</definedName>
    <definedName name="ExclSub4Yr4">'Budget Details'!$AG$204</definedName>
    <definedName name="ExclSub4Yr5">'Budget Details'!$AH$204</definedName>
    <definedName name="ExclSub4Yr6">'Budget Details'!$AI$204</definedName>
    <definedName name="ExclSub4Yr7">'Budget Details'!$AJ$204</definedName>
    <definedName name="ExclSub4Yr8">'Budget Details'!$AK$204</definedName>
    <definedName name="ExclSub4Yr9">'Budget Details'!$AL$204</definedName>
    <definedName name="ExclSub5ToT">'Budget Details'!$AN$206</definedName>
    <definedName name="ExclSub5Yr1">'Budget Details'!$AD$206</definedName>
    <definedName name="ExclSub5Yr10">'Budget Details'!$AM$206</definedName>
    <definedName name="ExclSub5Yr2">'Budget Details'!$AE$206</definedName>
    <definedName name="ExclSub5Yr3">'Budget Details'!$AF$206</definedName>
    <definedName name="ExclSub5Yr4">'Budget Details'!$AG$206</definedName>
    <definedName name="ExclSub5Yr5">'Budget Details'!$AH$206</definedName>
    <definedName name="ExclSub5Yr6">'Budget Details'!$AI$206</definedName>
    <definedName name="ExclSub5Yr7">'Budget Details'!$AJ$206</definedName>
    <definedName name="ExclSub5Yr8">'Budget Details'!$AK$206</definedName>
    <definedName name="ExclSub5Yr9">'Budget Details'!$AL$206</definedName>
    <definedName name="FullInsurance">'Budget Details'!$G$119</definedName>
    <definedName name="GRABenefits1">'Budget Details'!$AD$137</definedName>
    <definedName name="GRABenefits10">'Budget Details'!$AM$137</definedName>
    <definedName name="GRABenefits2">'Budget Details'!$AE$137</definedName>
    <definedName name="GRABenefits3">'Budget Details'!$AF$137</definedName>
    <definedName name="GRABenefits4">'Budget Details'!$AG$137</definedName>
    <definedName name="GRABenefits5">'Budget Details'!$AH$137</definedName>
    <definedName name="GRABenefits6">'Budget Details'!$AI$137</definedName>
    <definedName name="GRABenefits7">'Budget Details'!$AJ$137</definedName>
    <definedName name="GRABenefits8">'Budget Details'!$AK$137</definedName>
    <definedName name="GRABenefits9">'Budget Details'!$AL$137</definedName>
    <definedName name="GRABenefitsToT">'Budget Details'!$AN$137</definedName>
    <definedName name="IDCBase1">'Budget Details'!$AD$210</definedName>
    <definedName name="IDCBase10">'Budget Details'!$AM$210</definedName>
    <definedName name="IDCBase2">'Budget Details'!$AE$210</definedName>
    <definedName name="IDCBase3">'Budget Details'!$AF$210</definedName>
    <definedName name="IDCBase4">'Budget Details'!$AG$210</definedName>
    <definedName name="IDCBase5">'Budget Details'!$AH$210</definedName>
    <definedName name="IDCBase6">'Budget Details'!$AI$210</definedName>
    <definedName name="IDCBase7">'Budget Details'!$AJ$210</definedName>
    <definedName name="IDCBase8">'Budget Details'!$AK$210</definedName>
    <definedName name="IDCBase9">'Budget Details'!$AL$210</definedName>
    <definedName name="IDCBaseTOT">'Budget Details'!$AN$210</definedName>
    <definedName name="IDCRate">'Budget Details'!$G$211</definedName>
    <definedName name="IDCTOT">'Budget Details'!$AN$211</definedName>
    <definedName name="IDCYr1">'Budget Details'!$AD$211</definedName>
    <definedName name="IDCYr10">'Budget Details'!$AM$211</definedName>
    <definedName name="IDCYr2">'Budget Details'!$AE$211</definedName>
    <definedName name="IDCYr3">'Budget Details'!$AF$211</definedName>
    <definedName name="IDCYr4">'Budget Details'!$AG$211</definedName>
    <definedName name="IDCYr5">'Budget Details'!$AH$211</definedName>
    <definedName name="IDCYr6">'Budget Details'!$AI$211</definedName>
    <definedName name="IDCYr7">'Budget Details'!$AJ$211</definedName>
    <definedName name="IDCYr8">'Budget Details'!$AK$211</definedName>
    <definedName name="IDCYr9">'Budget Details'!$AL$211</definedName>
    <definedName name="InternatTravelTOT">'Budget Details'!$AN$165</definedName>
    <definedName name="MatSupTOT">'Budget Details'!$AN$179</definedName>
    <definedName name="MTDCbase">'Budget Details'!$G$211</definedName>
    <definedName name="MTDCBase1">'Budget Details'!$AD$210</definedName>
    <definedName name="NICRARates">'Budget Details'!$BO$211</definedName>
    <definedName name="Oth.PerBenefitsTuition1">'Budget Details'!$AD$151</definedName>
    <definedName name="Oth.PerBenefitsTuition10">'Budget Details'!$AM$151</definedName>
    <definedName name="Oth.PerBenefitsTuition2">'Budget Details'!$AE$151</definedName>
    <definedName name="Oth.PerBenefitsTuition3">'Budget Details'!$AF$151</definedName>
    <definedName name="Oth.PerBenefitsTuition4">'Budget Details'!$AG$151</definedName>
    <definedName name="Oth.PerBenefitsTuition5">'Budget Details'!$AH$151</definedName>
    <definedName name="Oth.PerBenefitsTuition6">'Budget Details'!$AI$151</definedName>
    <definedName name="Oth.PerBenefitsTuition7">'Budget Details'!$AJ$151</definedName>
    <definedName name="Oth.PerBenefitsTuition8">'Budget Details'!$AK$151</definedName>
    <definedName name="Oth.PerBenefitsTuition9">'Budget Details'!$AL$151</definedName>
    <definedName name="Oth.PerBenefitsTuitionToT">'Budget Details'!$AN$151</definedName>
    <definedName name="OtherDirCosts1">'Budget Details'!$AD$195</definedName>
    <definedName name="OtherDirCosts10">'Budget Details'!$AM$195</definedName>
    <definedName name="OtherDirCosts2">'Budget Details'!$AE$195</definedName>
    <definedName name="OtherDirCosts3">'Budget Details'!$AF$195</definedName>
    <definedName name="OtherDirCosts4">'Budget Details'!$AG$195</definedName>
    <definedName name="OtherDirCosts5">'Budget Details'!$AH$195</definedName>
    <definedName name="OtherDirCosts6">'Budget Details'!$AI$195</definedName>
    <definedName name="OtherDirCosts7">'Budget Details'!$AJ$195</definedName>
    <definedName name="OtherDirCosts8">'Budget Details'!$AK$195</definedName>
    <definedName name="OtherDirCosts9">'Budget Details'!$AL$195</definedName>
    <definedName name="OtherDirCostsTOT">'Budget Details'!$AN$195</definedName>
    <definedName name="OtherGRASalary1">'Budget Details'!$AD$67</definedName>
    <definedName name="OtherGRASalary10">'Budget Details'!$AM$67</definedName>
    <definedName name="OtherGRASalary2">'Budget Details'!$AE$67</definedName>
    <definedName name="OtherGRASalary3">'Budget Details'!$AF$67</definedName>
    <definedName name="OtherGRASalary4">'Budget Details'!$AG$67</definedName>
    <definedName name="OtherGRASalary5">'Budget Details'!$AH$67</definedName>
    <definedName name="OtherGRASalary6">'Budget Details'!$AI$67</definedName>
    <definedName name="OtherGRASalary7">'Budget Details'!$AJ$67</definedName>
    <definedName name="OtherGRASalary8">'Budget Details'!$AK$67</definedName>
    <definedName name="OtherGRASalary9">'Budget Details'!$AL$67</definedName>
    <definedName name="OtherGRASalaryTot">'Budget Details'!$AN$67</definedName>
    <definedName name="OtherPersonalSalaryToT">'Budget Details'!$AN$68</definedName>
    <definedName name="OtherPersonnelBenefits1">'Budget Details'!$AD$114</definedName>
    <definedName name="OtherPersonnelBenefits10">'Budget Details'!$AM$114</definedName>
    <definedName name="OtherPersonnelBenefits2">'Budget Details'!$AE$114</definedName>
    <definedName name="OtherPersonnelBenefits3">'Budget Details'!$AF$114</definedName>
    <definedName name="OtherPersonnelBenefits4">'Budget Details'!$AG$114</definedName>
    <definedName name="OtherPersonnelBenefits5">'Budget Details'!$AH$114</definedName>
    <definedName name="OtherPersonnelBenefits6">'Budget Details'!$AI$114</definedName>
    <definedName name="OtherPersonnelBenefits7">'Budget Details'!$AJ$114</definedName>
    <definedName name="OtherPersonnelBenefits8">'Budget Details'!$AK$114</definedName>
    <definedName name="OtherPersonnelBenefits9">'Budget Details'!$AL$114</definedName>
    <definedName name="OtherPersonnelBenefitsToT">'Budget Details'!$AN$114</definedName>
    <definedName name="OtherPersonnelSalary10">'Budget Details'!$AM$68</definedName>
    <definedName name="OtherPersonnelSalary2">'Budget Details'!$AE$68</definedName>
    <definedName name="OtherPersonnelSalary3">'Budget Details'!$AF$68</definedName>
    <definedName name="OtherPersonnelSalary4">'Budget Details'!$AG$68</definedName>
    <definedName name="OtherPersonnelSalary5">'Budget Details'!$AH$68</definedName>
    <definedName name="OtherPersonnelSalary6">'Budget Details'!$AI$68</definedName>
    <definedName name="OtherPersonnelSalary7">'Budget Details'!$AJ$68</definedName>
    <definedName name="OtherPersonnelSalary8">'Budget Details'!$AK$68</definedName>
    <definedName name="OtherPersonnelSalary9">'Budget Details'!$AL$68</definedName>
    <definedName name="OtherPersonnnelSalary1">'Budget Details'!$AD$68</definedName>
    <definedName name="OtherRate">'Budget Details'!$Q$211</definedName>
    <definedName name="OtherRates">'Budget Details'!$BR$211</definedName>
    <definedName name="OtherSalary1">'Budget Details'!$AD$54</definedName>
    <definedName name="OtherSalary10">'Budget Details'!$AM$54</definedName>
    <definedName name="OtherSalary2">'Budget Details'!$AE$54</definedName>
    <definedName name="OtherSalary3">'Budget Details'!$AF$54</definedName>
    <definedName name="OtherSalary4">'Budget Details'!$AG$54</definedName>
    <definedName name="OtherSalary5">'Budget Details'!$AH$54</definedName>
    <definedName name="OtherSalary6">'Budget Details'!$AI$54</definedName>
    <definedName name="OtherSalary7">'Budget Details'!$AJ$54</definedName>
    <definedName name="OtherSalary8">'Budget Details'!$AK$54</definedName>
    <definedName name="OtherSalary9">'Budget Details'!$AL$54</definedName>
    <definedName name="OtherSalaryTot">'Budget Details'!$AN$54</definedName>
    <definedName name="_xlnm.Print_Area" localSheetId="1">'Budget Details'!$B$1:$AN$213</definedName>
    <definedName name="PSCTot">'Budget Details'!$AN$176</definedName>
    <definedName name="PSCYr1">'Budget Details'!$AD$176</definedName>
    <definedName name="PSCYr10">'Budget Details'!$AM$176</definedName>
    <definedName name="PSCYr2">'Budget Details'!$AE$176</definedName>
    <definedName name="PSCYr3">'Budget Details'!$AF$176</definedName>
    <definedName name="PSCYr4">'Budget Details'!$AG$176</definedName>
    <definedName name="PSCYr5">'Budget Details'!$AH$176</definedName>
    <definedName name="PSCYr6">'Budget Details'!$AI$176</definedName>
    <definedName name="PSCYr7">'Budget Details'!$AJ$176</definedName>
    <definedName name="PSCYr8">'Budget Details'!$AK$176</definedName>
    <definedName name="PSCYr9">'Budget Details'!$AL$176</definedName>
    <definedName name="PubTOT">'Budget Details'!$AN$184</definedName>
    <definedName name="RateOptions">'Budget Details'!$D$211</definedName>
    <definedName name="SrFringe1">'Budget Details'!$AD$91</definedName>
    <definedName name="SrFringe10">'Budget Details'!$AM$91</definedName>
    <definedName name="SrFringe2">'Budget Details'!$AE$91</definedName>
    <definedName name="SrFringe3">'Budget Details'!$AF$91</definedName>
    <definedName name="SrFringe4">'Budget Details'!$AG$91</definedName>
    <definedName name="SrFringe5">'Budget Details'!$AH$91</definedName>
    <definedName name="SrFringe6">'Budget Details'!$AI$91</definedName>
    <definedName name="SrFringe7">'Budget Details'!$AJ$91</definedName>
    <definedName name="SrFringe8">'Budget Details'!$AK$91</definedName>
    <definedName name="SrFringe9">'Budget Details'!$AL$91</definedName>
    <definedName name="SrFringeTot">'Budget Details'!$AN$91</definedName>
    <definedName name="SrSalary1">'Budget Details'!$AD$31</definedName>
    <definedName name="SrSalary10">'Budget Details'!$AM$31</definedName>
    <definedName name="SrSalary2">'Budget Details'!$AE$31</definedName>
    <definedName name="SrSalary3">'Budget Details'!$AF$31</definedName>
    <definedName name="SrSalary4">'Budget Details'!$AG$31</definedName>
    <definedName name="SrSalary5">'Budget Details'!$AH$31</definedName>
    <definedName name="SrSalary6">'Budget Details'!$AI$31</definedName>
    <definedName name="SrSalary7">'Budget Details'!$AJ$31</definedName>
    <definedName name="SrSalary8">'Budget Details'!$AK$31</definedName>
    <definedName name="SrSalary9">'Budget Details'!$AL$31</definedName>
    <definedName name="SrSalaryToT">'Budget Details'!$AN$31</definedName>
    <definedName name="Sub1TOT">'Budget Details'!$AN$197</definedName>
    <definedName name="Sub1Yr1">'Budget Details'!$AD$197</definedName>
    <definedName name="Sub1Yr10">'Budget Details'!$AM$197</definedName>
    <definedName name="Sub1Yr2">'Budget Details'!$AE$197</definedName>
    <definedName name="Sub1Yr3">'Budget Details'!$AF$197</definedName>
    <definedName name="Sub1Yr4">'Budget Details'!$AG$197</definedName>
    <definedName name="Sub1Yr5">'Budget Details'!$AH$197</definedName>
    <definedName name="Sub1Yr6">'Budget Details'!$AI$197</definedName>
    <definedName name="Sub1Yr7">'Budget Details'!$AJ$197</definedName>
    <definedName name="Sub1Yr8">'Budget Details'!$AK$197</definedName>
    <definedName name="Sub1Yr9">'Budget Details'!$AL$197</definedName>
    <definedName name="Sub2TOT">'Budget Details'!$AN$199</definedName>
    <definedName name="Sub2Yr1">'Budget Details'!$AD$199</definedName>
    <definedName name="Sub2Yr10">'Budget Details'!$AM$199</definedName>
    <definedName name="Sub2Yr2">'Budget Details'!$AE$199</definedName>
    <definedName name="Sub2Yr3">'Budget Details'!$AF$199</definedName>
    <definedName name="Sub2Yr4">'Budget Details'!$AG$199</definedName>
    <definedName name="Sub2Yr5">'Budget Details'!$AH$199</definedName>
    <definedName name="Sub2Yr6">'Budget Details'!$AI$199</definedName>
    <definedName name="Sub2Yr7">'Budget Details'!$AJ$199</definedName>
    <definedName name="Sub2Yr8">'Budget Details'!$AK$199</definedName>
    <definedName name="Sub2Yr9">'Budget Details'!$AL$199</definedName>
    <definedName name="Sub3TOT">'Budget Details'!$AN$201</definedName>
    <definedName name="Sub3Yr1">'Budget Details'!$AD$201</definedName>
    <definedName name="Sub3Yr10">'Budget Details'!$AM$201</definedName>
    <definedName name="Sub3Yr2">'Budget Details'!$AE$201</definedName>
    <definedName name="Sub3Yr3">'Budget Details'!$AF$201</definedName>
    <definedName name="Sub3Yr4">'Budget Details'!$AG$201</definedName>
    <definedName name="Sub3Yr5">'Budget Details'!$AH$201</definedName>
    <definedName name="Sub3Yr6">'Budget Details'!$AI$201</definedName>
    <definedName name="Sub3Yr7">'Budget Details'!$AJ$201</definedName>
    <definedName name="Sub3Yr8">'Budget Details'!$AK$201</definedName>
    <definedName name="Sub3Yr9">'Budget Details'!$AL$201</definedName>
    <definedName name="Sub4TOT">'Budget Details'!$AN$203</definedName>
    <definedName name="Sub4Yr1">'Budget Details'!$AD$203</definedName>
    <definedName name="Sub4Yr10">'Budget Details'!$AM$203</definedName>
    <definedName name="Sub4Yr2">'Budget Details'!$AE$203</definedName>
    <definedName name="Sub4Yr3">'Budget Details'!$AF$203</definedName>
    <definedName name="Sub4Yr4">'Budget Details'!$AG$203</definedName>
    <definedName name="Sub4Yr5">'Budget Details'!$AH$203</definedName>
    <definedName name="Sub4Yr6">'Budget Details'!$AI$203</definedName>
    <definedName name="Sub4Yr7">'Budget Details'!$AJ$203</definedName>
    <definedName name="Sub4Yr8">'Budget Details'!$AK$203</definedName>
    <definedName name="Sub4Yr9">'Budget Details'!$AL$203</definedName>
    <definedName name="Sub5TOT">'Budget Details'!$AN$205</definedName>
    <definedName name="Sub5Yr1">'Budget Details'!$AD$205</definedName>
    <definedName name="Sub5Yr10">'Budget Details'!$AM$205</definedName>
    <definedName name="Sub5Yr2">'Budget Details'!$AE$205</definedName>
    <definedName name="Sub5Yr3">'Budget Details'!$AF$205</definedName>
    <definedName name="Sub5Yr4">'Budget Details'!$AG$205</definedName>
    <definedName name="Sub5Yr5">'Budget Details'!$AH$205</definedName>
    <definedName name="Sub5Yr6">'Budget Details'!$AI$205</definedName>
    <definedName name="Sub5Yr7">'Budget Details'!$AJ$205</definedName>
    <definedName name="Sub5Yr8">'Budget Details'!$AK$205</definedName>
    <definedName name="Sub5Yr9">'Budget Details'!$AL$205</definedName>
    <definedName name="SubAwardTOT">'Budget Details'!$AN$207</definedName>
    <definedName name="SubAwrdTtl1">'Budget Details'!$AD$207</definedName>
    <definedName name="SubAwrdTtl10">'Budget Details'!$AM$207</definedName>
    <definedName name="SubAwrdTtl2">'Budget Details'!$AE$207</definedName>
    <definedName name="SubAwrdTtl3">'Budget Details'!$AF$207</definedName>
    <definedName name="SubAwrdTtl4">'Budget Details'!$AG$207</definedName>
    <definedName name="SubAwrdTtl5">'Budget Details'!$AH$207</definedName>
    <definedName name="SubAwrdTtl6">'Budget Details'!$AI$207</definedName>
    <definedName name="SubAwrdTtl7">'Budget Details'!$AJ$207</definedName>
    <definedName name="SubAwrdTtl8">'Budget Details'!$AK$207</definedName>
    <definedName name="SubAwrdTtl9">'Budget Details'!$AL$207</definedName>
    <definedName name="SubsYr10Excl">'Budget Details'!$AM$198,'Budget Details'!$AM$200,'Budget Details'!$AM$202,'Budget Details'!$AM$204,'Budget Details'!$AM$206</definedName>
    <definedName name="SubsYr1Excl">'Budget Details'!$AD$198,'Budget Details'!$AD$200,'Budget Details'!$AD$202,'Budget Details'!$AD$204,'Budget Details'!$AD$206</definedName>
    <definedName name="SubsYr2Excl">'Budget Details'!$AE$198,'Budget Details'!$AE$200,'Budget Details'!$AE$202,'Budget Details'!$AE$204,'Budget Details'!$AE$206</definedName>
    <definedName name="SubsYr3Excl">'Budget Details'!$AF$198,'Budget Details'!$AF$200,'Budget Details'!$AF$202,'Budget Details'!$AF$204,'Budget Details'!$AF$206</definedName>
    <definedName name="SubsYr4Excl">'Budget Details'!$AG$198,'Budget Details'!$AG$200,'Budget Details'!$AG$202,'Budget Details'!$AG$204,'Budget Details'!$AG$206</definedName>
    <definedName name="SubsYr5Excl">'Budget Details'!$AH$198,'Budget Details'!$AH$200,'Budget Details'!$AH$202,'Budget Details'!$AH$204,'Budget Details'!$AH$206</definedName>
    <definedName name="SubsYr6Excl">'Budget Details'!$AI$198,'Budget Details'!$AI$200,'Budget Details'!$AI$202,'Budget Details'!$AI$204,'Budget Details'!$AI$206</definedName>
    <definedName name="SubsYr7Excl">'Budget Details'!$AJ$198,'Budget Details'!$AJ$200,'Budget Details'!$AJ$202,'Budget Details'!$AJ$204,'Budget Details'!$AJ$206</definedName>
    <definedName name="SubsYr8Excl">'Budget Details'!$AK$198,'Budget Details'!$AK$200,'Budget Details'!$AK$202,'Budget Details'!$AK$204,'Budget Details'!$AK$206</definedName>
    <definedName name="SubsYr9Excl">'Budget Details'!$AL$198,'Budget Details'!$AL$200,'Budget Details'!$AL$202,'Budget Details'!$AL$204,'Budget Details'!$AL$206</definedName>
    <definedName name="TDCTOT">'Budget Details'!$AN$208</definedName>
    <definedName name="TDCYr1">'Budget Details'!$AD$208</definedName>
    <definedName name="TDCYr10">'Budget Details'!$AM$208</definedName>
    <definedName name="TDCYr2">'Budget Details'!$AE$208</definedName>
    <definedName name="TDCYr3">'Budget Details'!$AF$208</definedName>
    <definedName name="TDCYr4">'Budget Details'!$AG$208</definedName>
    <definedName name="TDCYr5">'Budget Details'!$AH$208</definedName>
    <definedName name="TDCYr6">'Budget Details'!$AI$208</definedName>
    <definedName name="TDCYr7">'Budget Details'!$AJ$208</definedName>
    <definedName name="TDCYr8">'Budget Details'!$AK$208</definedName>
    <definedName name="TDCYr9">'Budget Details'!$AL$208</definedName>
    <definedName name="TotalCostShare1">'Budget Details'!$AP$213</definedName>
    <definedName name="TotalCostShare10">'Budget Details'!$AY$213</definedName>
    <definedName name="TotalCostShare2">'Budget Details'!$AQ$213</definedName>
    <definedName name="TotalCostShare3">'Budget Details'!$AR$213</definedName>
    <definedName name="TotalCostShare4">'Budget Details'!$AS$213</definedName>
    <definedName name="TotalCostShare5">'Budget Details'!$AT$213</definedName>
    <definedName name="TotalCostShare6">'Budget Details'!$AU$213</definedName>
    <definedName name="TotalCostShare7">'Budget Details'!$AV$213</definedName>
    <definedName name="TotalCostShare8">'Budget Details'!$AW$213</definedName>
    <definedName name="TotalCostShare9">'Budget Details'!$AX$213</definedName>
    <definedName name="TotalCostShareCombined">'Budget Details'!$AZ$213</definedName>
    <definedName name="TotalCostsTOT">'Budget Details'!$AN$213</definedName>
    <definedName name="TotalCostsYr1">'Budget Details'!$AD$213</definedName>
    <definedName name="TotalCostsYr10">'Budget Details'!$AM$213</definedName>
    <definedName name="TotalCostsYr2">'Budget Details'!$AE$213</definedName>
    <definedName name="TotalCostsYr3">'Budget Details'!$AF$213</definedName>
    <definedName name="TotalCostsYr4">'Budget Details'!$AG$213</definedName>
    <definedName name="TotalCostsYr5">'Budget Details'!$AH$213</definedName>
    <definedName name="TotalCostsYr6">'Budget Details'!$AI$213</definedName>
    <definedName name="TotalCostsYr7">'Budget Details'!$AJ$213</definedName>
    <definedName name="TotalCostsYr8">'Budget Details'!$AK$213</definedName>
    <definedName name="TotalCostsYr9">'Budget Details'!$AL$213</definedName>
    <definedName name="Travel1">'Budget Details'!$AD$168</definedName>
    <definedName name="Travel10">'Budget Details'!$AM$168</definedName>
    <definedName name="Travel2">'Budget Details'!$AE$168</definedName>
    <definedName name="Travel3">'Budget Details'!$AF$168</definedName>
    <definedName name="Travel4">'Budget Details'!$AG$168</definedName>
    <definedName name="Travel5">'Budget Details'!$AH$168</definedName>
    <definedName name="Travel6">'Budget Details'!$AI$168</definedName>
    <definedName name="Travel7">'Budget Details'!$AJ$168</definedName>
    <definedName name="Travel8">'Budget Details'!$AK$168</definedName>
    <definedName name="Travel9">'Budget Details'!$AL$168</definedName>
    <definedName name="TravelTOT">'Budget Details'!$AN$168</definedName>
    <definedName name="Tuition1">'Budget Details'!$AD$150</definedName>
    <definedName name="Tuition10">'Budget Details'!$AM$150</definedName>
    <definedName name="Tuition2">'Budget Details'!$AE$150</definedName>
    <definedName name="Tuition3">'Budget Details'!$AF$150</definedName>
    <definedName name="Tuition4">'Budget Details'!$AG$150</definedName>
    <definedName name="Tuition5">'Budget Details'!$AH$150</definedName>
    <definedName name="Tuition6">'Budget Details'!$AI$150</definedName>
    <definedName name="Tuition7">'Budget Details'!$AJ$150</definedName>
    <definedName name="Tuition8">'Budget Details'!$AK$150</definedName>
    <definedName name="Tuition9">'Budget Details'!$AL$150</definedName>
    <definedName name="TuitionTotal">'Budget Details'!$AN$150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32" i="9" l="1"/>
  <c r="P33" i="9"/>
  <c r="P34" i="9"/>
  <c r="P35" i="9"/>
  <c r="P36" i="9"/>
  <c r="P37" i="9"/>
  <c r="P38" i="9"/>
  <c r="P39" i="9"/>
  <c r="P40" i="9"/>
  <c r="P41" i="9"/>
  <c r="P42" i="9"/>
  <c r="P43" i="9"/>
  <c r="P44" i="9"/>
  <c r="P45" i="9"/>
  <c r="P46" i="9"/>
  <c r="P47" i="9"/>
  <c r="P48" i="9"/>
  <c r="P49" i="9"/>
  <c r="P50" i="9"/>
  <c r="P31" i="9"/>
  <c r="AZ136" i="1" l="1"/>
  <c r="AZ132" i="1"/>
  <c r="AZ128" i="1"/>
  <c r="AZ124" i="1"/>
  <c r="AZ120" i="1"/>
  <c r="AP159" i="1"/>
  <c r="AZ155" i="1"/>
  <c r="AZ156" i="1"/>
  <c r="AZ157" i="1"/>
  <c r="AZ158" i="1"/>
  <c r="AZ154" i="1"/>
  <c r="AZ165" i="1"/>
  <c r="AZ162" i="1"/>
  <c r="AY207" i="1"/>
  <c r="AX207" i="1"/>
  <c r="AW207" i="1"/>
  <c r="AV207" i="1"/>
  <c r="AU207" i="1"/>
  <c r="AT207" i="1"/>
  <c r="AS207" i="1"/>
  <c r="AR207" i="1"/>
  <c r="AQ207" i="1"/>
  <c r="AP207" i="1"/>
  <c r="AZ205" i="1"/>
  <c r="AZ203" i="1"/>
  <c r="AZ201" i="1"/>
  <c r="AZ199" i="1"/>
  <c r="AZ197" i="1"/>
  <c r="AZ185" i="1"/>
  <c r="AZ186" i="1"/>
  <c r="AZ187" i="1"/>
  <c r="AZ188" i="1"/>
  <c r="AZ189" i="1"/>
  <c r="AZ190" i="1"/>
  <c r="AZ191" i="1"/>
  <c r="AZ192" i="1"/>
  <c r="AZ193" i="1"/>
  <c r="AZ194" i="1"/>
  <c r="AZ184" i="1"/>
  <c r="AZ179" i="1"/>
  <c r="AZ207" i="1" l="1"/>
  <c r="AQ212" i="1" l="1"/>
  <c r="AP212" i="1"/>
  <c r="AS212" i="1"/>
  <c r="AT212" i="1"/>
  <c r="AU212" i="1"/>
  <c r="AV212" i="1"/>
  <c r="AW212" i="1"/>
  <c r="AX212" i="1"/>
  <c r="AY212" i="1"/>
  <c r="AR212" i="1"/>
  <c r="CC57" i="1" a="1"/>
  <c r="CC57" i="1" s="1"/>
  <c r="CB57" i="1" a="1"/>
  <c r="CB57" i="1" s="1"/>
  <c r="BZ57" i="1" a="1"/>
  <c r="BZ57" i="1" s="1"/>
  <c r="BY57" i="1" a="1"/>
  <c r="BY57" i="1" s="1"/>
  <c r="BX57" i="1" a="1"/>
  <c r="BX57" i="1" s="1"/>
  <c r="BW57" i="1" a="1"/>
  <c r="BW57" i="1" s="1"/>
  <c r="BV57" i="1" a="1"/>
  <c r="BV57" i="1" s="1"/>
  <c r="BU57" i="1" a="1"/>
  <c r="BU57" i="1" s="1"/>
  <c r="BT57" i="1" a="1"/>
  <c r="BT57" i="1" s="1"/>
  <c r="BX66" i="1"/>
  <c r="BY66" i="1"/>
  <c r="BZ66" i="1"/>
  <c r="CA66" i="1"/>
  <c r="CB66" i="1"/>
  <c r="CC66" i="1"/>
  <c r="BX65" i="1" a="1"/>
  <c r="BX65" i="1" s="1"/>
  <c r="BY65" i="1" a="1"/>
  <c r="BY65" i="1" s="1"/>
  <c r="BZ65" i="1" a="1"/>
  <c r="BZ65" i="1" s="1"/>
  <c r="CA65" i="1" a="1"/>
  <c r="CA65" i="1" s="1"/>
  <c r="CB65" i="1" a="1"/>
  <c r="CB65" i="1" s="1"/>
  <c r="CC65" i="1" a="1"/>
  <c r="CC65" i="1" s="1"/>
  <c r="BX64" i="1"/>
  <c r="BY64" i="1"/>
  <c r="BZ64" i="1"/>
  <c r="CA64" i="1"/>
  <c r="CB64" i="1"/>
  <c r="CC64" i="1"/>
  <c r="BX63" i="1" a="1"/>
  <c r="BX63" i="1" s="1"/>
  <c r="BY63" i="1" a="1"/>
  <c r="BY63" i="1" s="1"/>
  <c r="BZ63" i="1" a="1"/>
  <c r="BZ63" i="1" s="1"/>
  <c r="CA63" i="1" a="1"/>
  <c r="CA63" i="1" s="1"/>
  <c r="CB63" i="1" a="1"/>
  <c r="CB63" i="1" s="1"/>
  <c r="CC63" i="1" a="1"/>
  <c r="CC63" i="1" s="1"/>
  <c r="BX62" i="1"/>
  <c r="BY62" i="1"/>
  <c r="BZ62" i="1"/>
  <c r="CA62" i="1"/>
  <c r="CB62" i="1"/>
  <c r="CC62" i="1"/>
  <c r="BX61" i="1" a="1"/>
  <c r="BX61" i="1" s="1"/>
  <c r="BY61" i="1" a="1"/>
  <c r="BY61" i="1" s="1"/>
  <c r="BZ61" i="1" a="1"/>
  <c r="BZ61" i="1" s="1"/>
  <c r="CA61" i="1" a="1"/>
  <c r="CA61" i="1" s="1"/>
  <c r="CB61" i="1" a="1"/>
  <c r="CB61" i="1" s="1"/>
  <c r="CC61" i="1" a="1"/>
  <c r="CC61" i="1" s="1"/>
  <c r="BX60" i="1"/>
  <c r="BY60" i="1"/>
  <c r="BZ60" i="1"/>
  <c r="CA60" i="1"/>
  <c r="CB60" i="1"/>
  <c r="CC60" i="1"/>
  <c r="BX59" i="1" a="1"/>
  <c r="BX59" i="1" s="1"/>
  <c r="BY59" i="1" a="1"/>
  <c r="BY59" i="1" s="1"/>
  <c r="BZ59" i="1" a="1"/>
  <c r="BZ59" i="1" s="1"/>
  <c r="CA59" i="1" a="1"/>
  <c r="CA59" i="1" s="1"/>
  <c r="CB59" i="1" a="1"/>
  <c r="CB59" i="1" s="1"/>
  <c r="CC59" i="1" a="1"/>
  <c r="CC59" i="1" s="1"/>
  <c r="BX58" i="1"/>
  <c r="BY58" i="1"/>
  <c r="BZ58" i="1"/>
  <c r="CA58" i="1"/>
  <c r="CB58" i="1"/>
  <c r="CC58" i="1"/>
  <c r="CA57" i="1" a="1"/>
  <c r="CA57" i="1" s="1"/>
  <c r="BD24" i="6"/>
  <c r="AY24" i="6"/>
  <c r="AT24" i="6"/>
  <c r="AO24" i="6"/>
  <c r="AJ24" i="6"/>
  <c r="BD23" i="6"/>
  <c r="AY23" i="6"/>
  <c r="AT23" i="6"/>
  <c r="AO23" i="6"/>
  <c r="AJ23" i="6"/>
  <c r="BD22" i="6"/>
  <c r="AY22" i="6"/>
  <c r="AT22" i="6"/>
  <c r="AO22" i="6"/>
  <c r="AJ22" i="6"/>
  <c r="BD19" i="6"/>
  <c r="AY19" i="6"/>
  <c r="AT19" i="6"/>
  <c r="AO19" i="6"/>
  <c r="AJ19" i="6"/>
  <c r="BD18" i="6"/>
  <c r="AY18" i="6"/>
  <c r="AT18" i="6"/>
  <c r="AO18" i="6"/>
  <c r="AJ18" i="6"/>
  <c r="AE18" i="6"/>
  <c r="AM207" i="1" l="1"/>
  <c r="BD25" i="6" s="1"/>
  <c r="AL207" i="1"/>
  <c r="AY25" i="6" s="1"/>
  <c r="AK207" i="1"/>
  <c r="AT25" i="6" s="1"/>
  <c r="AJ207" i="1"/>
  <c r="AO25" i="6" s="1"/>
  <c r="AI207" i="1"/>
  <c r="AJ25" i="6" s="1"/>
  <c r="AH207" i="1"/>
  <c r="AG207" i="1"/>
  <c r="AF207" i="1"/>
  <c r="AE207" i="1"/>
  <c r="AD207" i="1"/>
  <c r="AN205" i="1"/>
  <c r="AN203" i="1"/>
  <c r="AN201" i="1"/>
  <c r="AN199" i="1"/>
  <c r="AN197" i="1"/>
  <c r="AM195" i="1"/>
  <c r="AL195" i="1"/>
  <c r="AK195" i="1"/>
  <c r="AJ195" i="1"/>
  <c r="AI195" i="1"/>
  <c r="AH195" i="1"/>
  <c r="AG195" i="1"/>
  <c r="AF195" i="1"/>
  <c r="AE195" i="1"/>
  <c r="AD195" i="1"/>
  <c r="AN179" i="1"/>
  <c r="AN162" i="1"/>
  <c r="AN165" i="1"/>
  <c r="AM159" i="1"/>
  <c r="BD16" i="6" s="1"/>
  <c r="AI159" i="1"/>
  <c r="AJ16" i="6" s="1"/>
  <c r="AJ159" i="1"/>
  <c r="AO16" i="6" s="1"/>
  <c r="AK159" i="1"/>
  <c r="AT16" i="6" s="1"/>
  <c r="AL159" i="1"/>
  <c r="AY16" i="6" s="1"/>
  <c r="AH159" i="1"/>
  <c r="AE16" i="6" s="1"/>
  <c r="AG159" i="1"/>
  <c r="AF159" i="1"/>
  <c r="AN158" i="1"/>
  <c r="AN157" i="1"/>
  <c r="AN156" i="1"/>
  <c r="AN155" i="1"/>
  <c r="AN154" i="1"/>
  <c r="AN128" i="1"/>
  <c r="AU159" i="1"/>
  <c r="AV159" i="1"/>
  <c r="AW159" i="1"/>
  <c r="AX159" i="1"/>
  <c r="AY159" i="1"/>
  <c r="AU195" i="1"/>
  <c r="AV195" i="1"/>
  <c r="AW195" i="1"/>
  <c r="AX195" i="1"/>
  <c r="AY195" i="1"/>
  <c r="AU175" i="1"/>
  <c r="AV175" i="1"/>
  <c r="AW175" i="1"/>
  <c r="AX175" i="1"/>
  <c r="AY175" i="1"/>
  <c r="AU174" i="1"/>
  <c r="AV174" i="1"/>
  <c r="AW174" i="1"/>
  <c r="AX174" i="1"/>
  <c r="AY174" i="1"/>
  <c r="AU173" i="1"/>
  <c r="AV173" i="1"/>
  <c r="AW173" i="1"/>
  <c r="AX173" i="1"/>
  <c r="AY173" i="1"/>
  <c r="AU172" i="1"/>
  <c r="AV172" i="1"/>
  <c r="AW172" i="1"/>
  <c r="AX172" i="1"/>
  <c r="AY172" i="1"/>
  <c r="AU171" i="1"/>
  <c r="AV171" i="1"/>
  <c r="AW171" i="1"/>
  <c r="AX171" i="1"/>
  <c r="AY171" i="1"/>
  <c r="AU168" i="1"/>
  <c r="AV168" i="1"/>
  <c r="AW168" i="1"/>
  <c r="AX168" i="1"/>
  <c r="AY168" i="1"/>
  <c r="AM171" i="1"/>
  <c r="AN185" i="1"/>
  <c r="AN186" i="1"/>
  <c r="AN187" i="1"/>
  <c r="AN188" i="1"/>
  <c r="AN189" i="1"/>
  <c r="AN190" i="1"/>
  <c r="AO190" i="1" s="1"/>
  <c r="AN191" i="1"/>
  <c r="AO191" i="1" s="1"/>
  <c r="AN192" i="1"/>
  <c r="AN193" i="1"/>
  <c r="AN194" i="1"/>
  <c r="AN184" i="1"/>
  <c r="BD21" i="6"/>
  <c r="AO21" i="6"/>
  <c r="AJ17" i="6"/>
  <c r="BD17" i="6"/>
  <c r="AM21" i="1"/>
  <c r="AM22" i="1"/>
  <c r="AM82" i="1" s="1"/>
  <c r="AM23" i="1"/>
  <c r="AM83" i="1" s="1"/>
  <c r="AM24" i="1"/>
  <c r="AM84" i="1" s="1"/>
  <c r="AM25" i="1"/>
  <c r="AM85" i="1" s="1"/>
  <c r="AM26" i="1"/>
  <c r="AM86" i="1" s="1"/>
  <c r="AM27" i="1"/>
  <c r="AM87" i="1" s="1"/>
  <c r="AM28" i="1"/>
  <c r="AM88" i="1" s="1"/>
  <c r="AM29" i="1"/>
  <c r="AM89" i="1" s="1"/>
  <c r="AM30" i="1"/>
  <c r="AM90" i="1" s="1"/>
  <c r="AL21" i="1"/>
  <c r="AL81" i="1" s="1"/>
  <c r="AL22" i="1"/>
  <c r="AL82" i="1" s="1"/>
  <c r="L17" i="9" s="1"/>
  <c r="AL23" i="1"/>
  <c r="AL83" i="1" s="1"/>
  <c r="AL24" i="1"/>
  <c r="AL84" i="1" s="1"/>
  <c r="L19" i="9" s="1"/>
  <c r="AL25" i="1"/>
  <c r="AL26" i="1"/>
  <c r="AL27" i="1"/>
  <c r="AL87" i="1" s="1"/>
  <c r="AL28" i="1"/>
  <c r="AL88" i="1" s="1"/>
  <c r="AL29" i="1"/>
  <c r="AL89" i="1" s="1"/>
  <c r="L24" i="9" s="1"/>
  <c r="AL30" i="1"/>
  <c r="AL90" i="1" s="1"/>
  <c r="L25" i="9" s="1"/>
  <c r="AK21" i="1"/>
  <c r="AK81" i="1" s="1"/>
  <c r="AK22" i="1"/>
  <c r="AK82" i="1" s="1"/>
  <c r="K17" i="9" s="1"/>
  <c r="AK23" i="1"/>
  <c r="AK83" i="1" s="1"/>
  <c r="K18" i="9" s="1"/>
  <c r="AK24" i="1"/>
  <c r="AK84" i="1" s="1"/>
  <c r="AK25" i="1"/>
  <c r="AK85" i="1" s="1"/>
  <c r="AK26" i="1"/>
  <c r="AK86" i="1" s="1"/>
  <c r="AK27" i="1"/>
  <c r="AK87" i="1" s="1"/>
  <c r="AK28" i="1"/>
  <c r="AK88" i="1" s="1"/>
  <c r="AK29" i="1"/>
  <c r="AK89" i="1" s="1"/>
  <c r="AK30" i="1"/>
  <c r="AK90" i="1" s="1"/>
  <c r="AJ21" i="1"/>
  <c r="AJ81" i="1" s="1"/>
  <c r="AJ22" i="1"/>
  <c r="AJ23" i="1"/>
  <c r="AJ83" i="1" s="1"/>
  <c r="AJ24" i="1"/>
  <c r="AJ84" i="1" s="1"/>
  <c r="AJ25" i="1"/>
  <c r="AJ85" i="1" s="1"/>
  <c r="AJ26" i="1"/>
  <c r="AJ86" i="1" s="1"/>
  <c r="AJ27" i="1"/>
  <c r="AJ87" i="1" s="1"/>
  <c r="AJ28" i="1"/>
  <c r="AJ88" i="1" s="1"/>
  <c r="J23" i="9" s="1"/>
  <c r="AJ29" i="1"/>
  <c r="AJ30" i="1"/>
  <c r="AI21" i="1"/>
  <c r="AI81" i="1" s="1"/>
  <c r="AI22" i="1"/>
  <c r="AI82" i="1" s="1"/>
  <c r="AI23" i="1"/>
  <c r="AI83" i="1" s="1"/>
  <c r="I18" i="9" s="1"/>
  <c r="AI24" i="1"/>
  <c r="AI25" i="1"/>
  <c r="AI85" i="1" s="1"/>
  <c r="AI26" i="1"/>
  <c r="AI86" i="1" s="1"/>
  <c r="I21" i="9" s="1"/>
  <c r="AI27" i="1"/>
  <c r="AI87" i="1" s="1"/>
  <c r="AI28" i="1"/>
  <c r="AI88" i="1" s="1"/>
  <c r="AI29" i="1"/>
  <c r="AI89" i="1" s="1"/>
  <c r="I24" i="9" s="1"/>
  <c r="AI30" i="1"/>
  <c r="AI175" i="1"/>
  <c r="AJ175" i="1"/>
  <c r="AK175" i="1"/>
  <c r="AL175" i="1"/>
  <c r="AM175" i="1"/>
  <c r="AI174" i="1"/>
  <c r="AJ174" i="1"/>
  <c r="AK174" i="1"/>
  <c r="AL174" i="1"/>
  <c r="AM174" i="1"/>
  <c r="AI173" i="1"/>
  <c r="AJ173" i="1"/>
  <c r="AK173" i="1"/>
  <c r="AL173" i="1"/>
  <c r="AM173" i="1"/>
  <c r="AI172" i="1"/>
  <c r="AJ172" i="1"/>
  <c r="AK172" i="1"/>
  <c r="AL172" i="1"/>
  <c r="AM172" i="1"/>
  <c r="AI171" i="1"/>
  <c r="AJ171" i="1"/>
  <c r="AK171" i="1"/>
  <c r="AL171" i="1"/>
  <c r="AI168" i="1"/>
  <c r="AJ168" i="1"/>
  <c r="AK168" i="1"/>
  <c r="AL168" i="1"/>
  <c r="AM168" i="1"/>
  <c r="AI66" i="1"/>
  <c r="AI134" i="1" s="1"/>
  <c r="I65" i="9" s="1"/>
  <c r="AJ66" i="1"/>
  <c r="AJ134" i="1" s="1"/>
  <c r="J65" i="9" s="1"/>
  <c r="AK66" i="1"/>
  <c r="AL66" i="1"/>
  <c r="AM66" i="1"/>
  <c r="AI65" i="1" a="1"/>
  <c r="AI65" i="1" s="1"/>
  <c r="AJ65" i="1" a="1"/>
  <c r="AJ65" i="1" s="1"/>
  <c r="AK65" i="1" a="1"/>
  <c r="AK65" i="1" s="1"/>
  <c r="AL65" i="1" a="1"/>
  <c r="AL65" i="1" s="1"/>
  <c r="AL133" i="1" s="1"/>
  <c r="AM65" i="1" a="1"/>
  <c r="AM65" i="1" s="1"/>
  <c r="AI64" i="1"/>
  <c r="AI130" i="1" s="1"/>
  <c r="AJ64" i="1"/>
  <c r="AJ130" i="1" s="1"/>
  <c r="AK64" i="1"/>
  <c r="AK130" i="1" s="1"/>
  <c r="K63" i="9" s="1"/>
  <c r="AL64" i="1"/>
  <c r="AL130" i="1" s="1"/>
  <c r="L63" i="9" s="1"/>
  <c r="AM64" i="1"/>
  <c r="AI63" i="1" a="1"/>
  <c r="AI63" i="1" s="1"/>
  <c r="AJ63" i="1" a="1"/>
  <c r="AJ63" i="1" s="1"/>
  <c r="AK63" i="1" a="1"/>
  <c r="AK63" i="1" s="1"/>
  <c r="AK129" i="1" s="1"/>
  <c r="AL63" i="1" a="1"/>
  <c r="AL63" i="1" s="1"/>
  <c r="AM63" i="1" a="1"/>
  <c r="AM63" i="1" s="1"/>
  <c r="AM129" i="1" s="1"/>
  <c r="AI62" i="1"/>
  <c r="AJ62" i="1"/>
  <c r="AK62" i="1"/>
  <c r="AL62" i="1"/>
  <c r="AM62" i="1"/>
  <c r="AM126" i="1" s="1"/>
  <c r="M61" i="9" s="1"/>
  <c r="AI61" i="1" a="1"/>
  <c r="AI61" i="1" s="1"/>
  <c r="AJ61" i="1" a="1"/>
  <c r="AJ61" i="1" s="1"/>
  <c r="AJ125" i="1" s="1"/>
  <c r="AK61" i="1" a="1"/>
  <c r="AK61" i="1" s="1"/>
  <c r="AL61" i="1" a="1"/>
  <c r="AL61" i="1" s="1"/>
  <c r="AM61" i="1" a="1"/>
  <c r="AM61" i="1" s="1"/>
  <c r="AI60" i="1"/>
  <c r="AJ60" i="1"/>
  <c r="AK60" i="1"/>
  <c r="AK122" i="1" s="1"/>
  <c r="AL60" i="1"/>
  <c r="AL122" i="1" s="1"/>
  <c r="AM60" i="1"/>
  <c r="AM122" i="1" s="1"/>
  <c r="AI59" i="1" a="1"/>
  <c r="AI59" i="1" s="1"/>
  <c r="AJ59" i="1" a="1"/>
  <c r="AJ59" i="1" s="1"/>
  <c r="AK59" i="1" a="1"/>
  <c r="AK59" i="1" s="1"/>
  <c r="AL59" i="1" a="1"/>
  <c r="AL59" i="1" s="1"/>
  <c r="AM59" i="1" a="1"/>
  <c r="AM59" i="1" s="1"/>
  <c r="AI58" i="1"/>
  <c r="AI118" i="1" s="1"/>
  <c r="AJ58" i="1"/>
  <c r="AJ118" i="1" s="1"/>
  <c r="AK58" i="1"/>
  <c r="AK118" i="1" s="1"/>
  <c r="AL58" i="1"/>
  <c r="AL118" i="1" s="1"/>
  <c r="L57" i="9" s="1"/>
  <c r="AM58" i="1"/>
  <c r="AM118" i="1" s="1"/>
  <c r="AI57" i="1" a="1"/>
  <c r="AI57" i="1" s="1"/>
  <c r="AI117" i="1" s="1"/>
  <c r="I56" i="9" s="1"/>
  <c r="AJ57" i="1" a="1"/>
  <c r="AJ57" i="1" s="1"/>
  <c r="AK57" i="1" a="1"/>
  <c r="AK57" i="1" s="1"/>
  <c r="AL57" i="1" a="1"/>
  <c r="AL57" i="1" s="1"/>
  <c r="AM57" i="1" a="1"/>
  <c r="AM57" i="1" s="1"/>
  <c r="X66" i="1"/>
  <c r="Y66" i="1"/>
  <c r="Z66" i="1"/>
  <c r="AA66" i="1"/>
  <c r="AB66" i="1"/>
  <c r="X65" i="1" a="1"/>
  <c r="X65" i="1" s="1"/>
  <c r="Y65" i="1" a="1"/>
  <c r="Y65" i="1" s="1"/>
  <c r="Z65" i="1" a="1"/>
  <c r="Z65" i="1" s="1"/>
  <c r="AA65" i="1" a="1"/>
  <c r="AA65" i="1" s="1"/>
  <c r="AB65" i="1" a="1"/>
  <c r="AB65" i="1" s="1"/>
  <c r="X64" i="1"/>
  <c r="Y64" i="1"/>
  <c r="Z64" i="1"/>
  <c r="AA64" i="1"/>
  <c r="AB64" i="1"/>
  <c r="X63" i="1" a="1"/>
  <c r="X63" i="1" s="1"/>
  <c r="Y63" i="1" a="1"/>
  <c r="Y63" i="1" s="1"/>
  <c r="Z63" i="1" a="1"/>
  <c r="Z63" i="1" s="1"/>
  <c r="AA63" i="1" a="1"/>
  <c r="AA63" i="1" s="1"/>
  <c r="AB63" i="1" a="1"/>
  <c r="AB63" i="1" s="1"/>
  <c r="X62" i="1"/>
  <c r="Y62" i="1"/>
  <c r="Z62" i="1"/>
  <c r="AA62" i="1"/>
  <c r="AB62" i="1"/>
  <c r="X61" i="1" a="1"/>
  <c r="X61" i="1" s="1"/>
  <c r="Y61" i="1" a="1"/>
  <c r="Y61" i="1" s="1"/>
  <c r="Z61" i="1" a="1"/>
  <c r="Z61" i="1" s="1"/>
  <c r="AA61" i="1" a="1"/>
  <c r="AA61" i="1" s="1"/>
  <c r="AB61" i="1" a="1"/>
  <c r="AB61" i="1" s="1"/>
  <c r="X60" i="1"/>
  <c r="Y60" i="1"/>
  <c r="Z60" i="1"/>
  <c r="AA60" i="1"/>
  <c r="AB60" i="1"/>
  <c r="X59" i="1" a="1"/>
  <c r="X59" i="1" s="1"/>
  <c r="Y59" i="1" a="1"/>
  <c r="Y59" i="1" s="1"/>
  <c r="Z59" i="1" a="1"/>
  <c r="Z59" i="1" s="1"/>
  <c r="AA59" i="1" a="1"/>
  <c r="AA59" i="1" s="1"/>
  <c r="AB59" i="1" a="1"/>
  <c r="AB59" i="1" s="1"/>
  <c r="AB58" i="1"/>
  <c r="X58" i="1"/>
  <c r="Y58" i="1"/>
  <c r="Z58" i="1"/>
  <c r="AA58" i="1"/>
  <c r="X57" i="1" a="1"/>
  <c r="X57" i="1" s="1"/>
  <c r="Y57" i="1" a="1"/>
  <c r="Y57" i="1" s="1"/>
  <c r="Z57" i="1" a="1"/>
  <c r="Z57" i="1" s="1"/>
  <c r="AA57" i="1" a="1"/>
  <c r="AA57" i="1" s="1"/>
  <c r="AB57" i="1" a="1"/>
  <c r="AB57" i="1" s="1"/>
  <c r="AU66" i="1"/>
  <c r="AU134" i="1" s="1"/>
  <c r="AV66" i="1"/>
  <c r="AV134" i="1" s="1"/>
  <c r="AW66" i="1"/>
  <c r="AX66" i="1"/>
  <c r="AY66" i="1"/>
  <c r="AY134" i="1" s="1"/>
  <c r="AU65" i="1" a="1"/>
  <c r="AU65" i="1" s="1"/>
  <c r="AU133" i="1" s="1"/>
  <c r="AV65" i="1" a="1"/>
  <c r="AV65" i="1" s="1"/>
  <c r="AV133" i="1" s="1"/>
  <c r="AW65" i="1" a="1"/>
  <c r="AW65" i="1" s="1"/>
  <c r="AX65" i="1" a="1"/>
  <c r="AX65" i="1" s="1"/>
  <c r="AY65" i="1" a="1"/>
  <c r="AY65" i="1" s="1"/>
  <c r="AY133" i="1" s="1"/>
  <c r="AU64" i="1"/>
  <c r="AV64" i="1"/>
  <c r="AV130" i="1" s="1"/>
  <c r="AW64" i="1"/>
  <c r="AX64" i="1"/>
  <c r="AY64" i="1"/>
  <c r="AU63" i="1" a="1"/>
  <c r="AU63" i="1" s="1"/>
  <c r="AV63" i="1" a="1"/>
  <c r="AV63" i="1" s="1"/>
  <c r="AW63" i="1" a="1"/>
  <c r="AW63" i="1" s="1"/>
  <c r="AX63" i="1" a="1"/>
  <c r="AX63" i="1" s="1"/>
  <c r="AY63" i="1" a="1"/>
  <c r="AY63" i="1" s="1"/>
  <c r="AY129" i="1" s="1"/>
  <c r="AU62" i="1"/>
  <c r="AU126" i="1" s="1"/>
  <c r="AV62" i="1"/>
  <c r="AV126" i="1" s="1"/>
  <c r="AW62" i="1"/>
  <c r="AX62" i="1"/>
  <c r="AY62" i="1"/>
  <c r="AU61" i="1" a="1"/>
  <c r="AU61" i="1" s="1"/>
  <c r="AV61" i="1" a="1"/>
  <c r="AV61" i="1" s="1"/>
  <c r="AW61" i="1" a="1"/>
  <c r="AW61" i="1" s="1"/>
  <c r="AX61" i="1" a="1"/>
  <c r="AX61" i="1" s="1"/>
  <c r="AY61" i="1" a="1"/>
  <c r="AY61" i="1" s="1"/>
  <c r="AY125" i="1" s="1"/>
  <c r="AU60" i="1"/>
  <c r="AV60" i="1"/>
  <c r="AW60" i="1"/>
  <c r="AX60" i="1"/>
  <c r="AY60" i="1"/>
  <c r="AU59" i="1" a="1"/>
  <c r="AU59" i="1" s="1"/>
  <c r="AU121" i="1" s="1"/>
  <c r="AV59" i="1" a="1"/>
  <c r="AV59" i="1" s="1"/>
  <c r="AW59" i="1" a="1"/>
  <c r="AW59" i="1" s="1"/>
  <c r="AW121" i="1" s="1"/>
  <c r="AX59" i="1" a="1"/>
  <c r="AX59" i="1" s="1"/>
  <c r="AX121" i="1" s="1"/>
  <c r="AY59" i="1" a="1"/>
  <c r="AY59" i="1" s="1"/>
  <c r="AY121" i="1" s="1"/>
  <c r="AU58" i="1"/>
  <c r="AU118" i="1" s="1"/>
  <c r="AV58" i="1"/>
  <c r="AV118" i="1" s="1"/>
  <c r="AW58" i="1"/>
  <c r="AW118" i="1" s="1"/>
  <c r="AX58" i="1"/>
  <c r="AY58" i="1"/>
  <c r="AU57" i="1" a="1"/>
  <c r="AU57" i="1" s="1"/>
  <c r="AU117" i="1" s="1"/>
  <c r="AV57" i="1" a="1"/>
  <c r="AV57" i="1" s="1"/>
  <c r="AV117" i="1" s="1"/>
  <c r="AW57" i="1" a="1"/>
  <c r="AW57" i="1" s="1"/>
  <c r="AW117" i="1" s="1"/>
  <c r="AX57" i="1" a="1"/>
  <c r="AX57" i="1" s="1"/>
  <c r="AY57" i="1" a="1"/>
  <c r="AY57" i="1" s="1"/>
  <c r="AY21" i="1"/>
  <c r="AY22" i="1"/>
  <c r="AY82" i="1" s="1"/>
  <c r="AY23" i="1"/>
  <c r="AY83" i="1" s="1"/>
  <c r="AY24" i="1"/>
  <c r="AY84" i="1" s="1"/>
  <c r="AY25" i="1"/>
  <c r="AY85" i="1" s="1"/>
  <c r="AY26" i="1"/>
  <c r="AY86" i="1" s="1"/>
  <c r="AY27" i="1"/>
  <c r="AY87" i="1" s="1"/>
  <c r="AY28" i="1"/>
  <c r="AY88" i="1" s="1"/>
  <c r="AY29" i="1"/>
  <c r="AY89" i="1" s="1"/>
  <c r="AY30" i="1"/>
  <c r="AY90" i="1" s="1"/>
  <c r="AX21" i="1"/>
  <c r="AX22" i="1"/>
  <c r="AX23" i="1"/>
  <c r="AX83" i="1" s="1"/>
  <c r="AX24" i="1"/>
  <c r="AX84" i="1" s="1"/>
  <c r="AX25" i="1"/>
  <c r="AX85" i="1" s="1"/>
  <c r="AX26" i="1"/>
  <c r="AX86" i="1" s="1"/>
  <c r="AX27" i="1"/>
  <c r="AX87" i="1" s="1"/>
  <c r="AX28" i="1"/>
  <c r="AX29" i="1"/>
  <c r="AX30" i="1"/>
  <c r="AX90" i="1" s="1"/>
  <c r="AW21" i="1"/>
  <c r="AW81" i="1" s="1"/>
  <c r="AW22" i="1"/>
  <c r="AW23" i="1"/>
  <c r="AW24" i="1"/>
  <c r="AW84" i="1" s="1"/>
  <c r="AW25" i="1"/>
  <c r="AW85" i="1" s="1"/>
  <c r="AW26" i="1"/>
  <c r="AW86" i="1" s="1"/>
  <c r="AW27" i="1"/>
  <c r="AW87" i="1" s="1"/>
  <c r="AW28" i="1"/>
  <c r="AW29" i="1"/>
  <c r="AW89" i="1" s="1"/>
  <c r="AW30" i="1"/>
  <c r="AV21" i="1"/>
  <c r="AV81" i="1" s="1"/>
  <c r="AV22" i="1"/>
  <c r="AV23" i="1"/>
  <c r="AV24" i="1"/>
  <c r="AV84" i="1" s="1"/>
  <c r="AV25" i="1"/>
  <c r="AV85" i="1" s="1"/>
  <c r="AV26" i="1"/>
  <c r="AV86" i="1" s="1"/>
  <c r="AV27" i="1"/>
  <c r="AV87" i="1" s="1"/>
  <c r="AV28" i="1"/>
  <c r="AV88" i="1" s="1"/>
  <c r="AV29" i="1"/>
  <c r="AV30" i="1"/>
  <c r="AV90" i="1" s="1"/>
  <c r="AU21" i="1"/>
  <c r="AU81" i="1" s="1"/>
  <c r="AU22" i="1"/>
  <c r="AU82" i="1" s="1"/>
  <c r="AU23" i="1"/>
  <c r="AU24" i="1"/>
  <c r="AU84" i="1" s="1"/>
  <c r="AU25" i="1"/>
  <c r="AU85" i="1" s="1"/>
  <c r="AU26" i="1"/>
  <c r="AU86" i="1" s="1"/>
  <c r="AU27" i="1"/>
  <c r="AU87" i="1" s="1"/>
  <c r="AU28" i="1"/>
  <c r="AU29" i="1"/>
  <c r="AU30" i="1"/>
  <c r="AU20" i="1"/>
  <c r="AU80" i="1" s="1"/>
  <c r="AV20" i="1"/>
  <c r="AW20" i="1"/>
  <c r="AX20" i="1"/>
  <c r="AX80" i="1" s="1"/>
  <c r="AY20" i="1"/>
  <c r="AU19" i="1"/>
  <c r="AU79" i="1" s="1"/>
  <c r="AV19" i="1"/>
  <c r="AV79" i="1" s="1"/>
  <c r="AW19" i="1"/>
  <c r="AW79" i="1" s="1"/>
  <c r="AX19" i="1"/>
  <c r="AY19" i="1"/>
  <c r="AU18" i="1"/>
  <c r="AU78" i="1" s="1"/>
  <c r="AV18" i="1"/>
  <c r="AW18" i="1"/>
  <c r="AW78" i="1" s="1"/>
  <c r="AX18" i="1"/>
  <c r="AX78" i="1" s="1"/>
  <c r="AY18" i="1"/>
  <c r="AY78" i="1" s="1"/>
  <c r="AU17" i="1"/>
  <c r="AU77" i="1" s="1"/>
  <c r="AV17" i="1"/>
  <c r="AV77" i="1" s="1"/>
  <c r="AW17" i="1"/>
  <c r="AW77" i="1" s="1"/>
  <c r="AX17" i="1"/>
  <c r="AY17" i="1"/>
  <c r="AU16" i="1"/>
  <c r="AU76" i="1" s="1"/>
  <c r="AV16" i="1"/>
  <c r="AW16" i="1"/>
  <c r="AW76" i="1" s="1"/>
  <c r="AX16" i="1"/>
  <c r="AY16" i="1"/>
  <c r="AY76" i="1" s="1"/>
  <c r="AU15" i="1"/>
  <c r="AV15" i="1"/>
  <c r="AW15" i="1"/>
  <c r="AW75" i="1" s="1"/>
  <c r="Y10" i="9" s="1"/>
  <c r="AX15" i="1"/>
  <c r="AX75" i="1" s="1"/>
  <c r="AY15" i="1"/>
  <c r="AY75" i="1" s="1"/>
  <c r="AU14" i="1"/>
  <c r="AU74" i="1" s="1"/>
  <c r="AV14" i="1"/>
  <c r="AW14" i="1"/>
  <c r="AX14" i="1"/>
  <c r="AY14" i="1"/>
  <c r="AU13" i="1"/>
  <c r="AU73" i="1" s="1"/>
  <c r="AV13" i="1"/>
  <c r="AV73" i="1" s="1"/>
  <c r="AW13" i="1"/>
  <c r="AW73" i="1" s="1"/>
  <c r="AX13" i="1"/>
  <c r="AY13" i="1"/>
  <c r="AU12" i="1"/>
  <c r="AU72" i="1" s="1"/>
  <c r="AV12" i="1"/>
  <c r="AV72" i="1" s="1"/>
  <c r="AW12" i="1"/>
  <c r="AW72" i="1" s="1"/>
  <c r="AX12" i="1"/>
  <c r="AX72" i="1" s="1"/>
  <c r="AY12" i="1"/>
  <c r="AY72" i="1" s="1"/>
  <c r="AU11" i="1"/>
  <c r="AU71" i="1" s="1"/>
  <c r="AV11" i="1"/>
  <c r="AV71" i="1" s="1"/>
  <c r="AW11" i="1"/>
  <c r="AX11" i="1"/>
  <c r="AX71" i="1" s="1"/>
  <c r="AY11" i="1"/>
  <c r="AY71" i="1" s="1"/>
  <c r="AT12" i="1"/>
  <c r="AT13" i="1"/>
  <c r="AT14" i="1"/>
  <c r="AT15" i="1"/>
  <c r="AT16" i="1"/>
  <c r="AT17" i="1"/>
  <c r="AT18" i="1"/>
  <c r="AT19" i="1"/>
  <c r="AT20" i="1"/>
  <c r="AT21" i="1"/>
  <c r="AT22" i="1"/>
  <c r="AT23" i="1"/>
  <c r="AT24" i="1"/>
  <c r="AT25" i="1"/>
  <c r="AT26" i="1"/>
  <c r="AT27" i="1"/>
  <c r="AT28" i="1"/>
  <c r="AT29" i="1"/>
  <c r="AT30" i="1"/>
  <c r="AI20" i="1"/>
  <c r="AI80" i="1" s="1"/>
  <c r="I15" i="9" s="1"/>
  <c r="AJ20" i="1"/>
  <c r="AJ80" i="1" s="1"/>
  <c r="AK20" i="1"/>
  <c r="AK80" i="1" s="1"/>
  <c r="K15" i="9" s="1"/>
  <c r="AL20" i="1"/>
  <c r="AL80" i="1" s="1"/>
  <c r="L15" i="9" s="1"/>
  <c r="AM20" i="1"/>
  <c r="AM80" i="1" s="1"/>
  <c r="M15" i="9" s="1"/>
  <c r="AI19" i="1"/>
  <c r="AI79" i="1" s="1"/>
  <c r="I14" i="9" s="1"/>
  <c r="AJ19" i="1"/>
  <c r="AJ79" i="1" s="1"/>
  <c r="J14" i="9" s="1"/>
  <c r="AK19" i="1"/>
  <c r="AK79" i="1" s="1"/>
  <c r="K14" i="9" s="1"/>
  <c r="AL19" i="1"/>
  <c r="AL79" i="1" s="1"/>
  <c r="L14" i="9" s="1"/>
  <c r="AM19" i="1"/>
  <c r="AI18" i="1"/>
  <c r="AI78" i="1" s="1"/>
  <c r="I13" i="9" s="1"/>
  <c r="AJ18" i="1"/>
  <c r="AK18" i="1"/>
  <c r="AK78" i="1" s="1"/>
  <c r="K13" i="9" s="1"/>
  <c r="AL18" i="1"/>
  <c r="AL78" i="1" s="1"/>
  <c r="L13" i="9" s="1"/>
  <c r="AM18" i="1"/>
  <c r="AM78" i="1" s="1"/>
  <c r="M13" i="9" s="1"/>
  <c r="AI17" i="1"/>
  <c r="AI77" i="1" s="1"/>
  <c r="I12" i="9" s="1"/>
  <c r="AJ17" i="1"/>
  <c r="AJ77" i="1" s="1"/>
  <c r="J12" i="9" s="1"/>
  <c r="AK17" i="1"/>
  <c r="AL17" i="1"/>
  <c r="AL77" i="1" s="1"/>
  <c r="L12" i="9" s="1"/>
  <c r="AM17" i="1"/>
  <c r="AI16" i="1"/>
  <c r="AI76" i="1" s="1"/>
  <c r="I11" i="9" s="1"/>
  <c r="AJ16" i="1"/>
  <c r="AJ76" i="1" s="1"/>
  <c r="J11" i="9" s="1"/>
  <c r="AK16" i="1"/>
  <c r="AK76" i="1" s="1"/>
  <c r="K11" i="9" s="1"/>
  <c r="AL16" i="1"/>
  <c r="AL76" i="1" s="1"/>
  <c r="L11" i="9" s="1"/>
  <c r="AM16" i="1"/>
  <c r="AM76" i="1" s="1"/>
  <c r="M11" i="9" s="1"/>
  <c r="AI15" i="1"/>
  <c r="AJ15" i="1"/>
  <c r="AJ75" i="1" s="1"/>
  <c r="J10" i="9" s="1"/>
  <c r="AK15" i="1"/>
  <c r="AL15" i="1"/>
  <c r="AL75" i="1" s="1"/>
  <c r="L10" i="9" s="1"/>
  <c r="AM15" i="1"/>
  <c r="AM75" i="1" s="1"/>
  <c r="M10" i="9" s="1"/>
  <c r="AI14" i="1"/>
  <c r="AI74" i="1" s="1"/>
  <c r="I9" i="9" s="1"/>
  <c r="AJ14" i="1"/>
  <c r="AJ74" i="1" s="1"/>
  <c r="J9" i="9" s="1"/>
  <c r="AK14" i="1"/>
  <c r="AK74" i="1" s="1"/>
  <c r="K9" i="9" s="1"/>
  <c r="AL14" i="1"/>
  <c r="AL74" i="1" s="1"/>
  <c r="AM14" i="1"/>
  <c r="AM74" i="1" s="1"/>
  <c r="M9" i="9" s="1"/>
  <c r="AI13" i="1"/>
  <c r="AI73" i="1" s="1"/>
  <c r="I8" i="9" s="1"/>
  <c r="AJ13" i="1"/>
  <c r="AK13" i="1"/>
  <c r="AK73" i="1" s="1"/>
  <c r="AL13" i="1"/>
  <c r="AL73" i="1" s="1"/>
  <c r="AM13" i="1"/>
  <c r="AM73" i="1" s="1"/>
  <c r="AI12" i="1"/>
  <c r="AI72" i="1" s="1"/>
  <c r="AJ12" i="1"/>
  <c r="AJ72" i="1" s="1"/>
  <c r="AK12" i="1"/>
  <c r="AK72" i="1" s="1"/>
  <c r="AL12" i="1"/>
  <c r="AL72" i="1" s="1"/>
  <c r="L7" i="9" s="1"/>
  <c r="AM12" i="1"/>
  <c r="AI11" i="1"/>
  <c r="AI71" i="1" s="1"/>
  <c r="AJ11" i="1"/>
  <c r="AJ71" i="1" s="1"/>
  <c r="AK11" i="1"/>
  <c r="AK71" i="1" s="1"/>
  <c r="AL11" i="1"/>
  <c r="AL71" i="1" s="1"/>
  <c r="AM11" i="1"/>
  <c r="AM71" i="1" s="1"/>
  <c r="AP65" i="1" a="1"/>
  <c r="AP65" i="1" s="1"/>
  <c r="S57" i="1" a="1"/>
  <c r="S57" i="1" s="1"/>
  <c r="B141" i="1"/>
  <c r="B140" i="1"/>
  <c r="B118" i="1"/>
  <c r="B117" i="1"/>
  <c r="G211" i="1" a="1"/>
  <c r="G211" i="1" s="1"/>
  <c r="AV176" i="1" l="1"/>
  <c r="AY176" i="1"/>
  <c r="AU176" i="1"/>
  <c r="AX176" i="1"/>
  <c r="AN207" i="1"/>
  <c r="AW176" i="1"/>
  <c r="AN159" i="1"/>
  <c r="AX129" i="1"/>
  <c r="Z62" i="9" s="1"/>
  <c r="Z58" i="9"/>
  <c r="AX117" i="1"/>
  <c r="Z56" i="9" s="1"/>
  <c r="Y56" i="9"/>
  <c r="AX134" i="1"/>
  <c r="Z65" i="9" s="1"/>
  <c r="X65" i="9"/>
  <c r="AW134" i="1"/>
  <c r="Y65" i="9" s="1"/>
  <c r="W65" i="9"/>
  <c r="AA64" i="9"/>
  <c r="AX133" i="1"/>
  <c r="Z64" i="9" s="1"/>
  <c r="AW133" i="1"/>
  <c r="Y64" i="9" s="1"/>
  <c r="X64" i="9"/>
  <c r="W64" i="9"/>
  <c r="AY130" i="1"/>
  <c r="AA63" i="9" s="1"/>
  <c r="AX130" i="1"/>
  <c r="Z63" i="9" s="1"/>
  <c r="AW130" i="1"/>
  <c r="Y63" i="9" s="1"/>
  <c r="X63" i="9"/>
  <c r="AU130" i="1"/>
  <c r="W63" i="9" s="1"/>
  <c r="AW129" i="1"/>
  <c r="Y62" i="9" s="1"/>
  <c r="AV129" i="1"/>
  <c r="X62" i="9" s="1"/>
  <c r="AU129" i="1"/>
  <c r="W62" i="9" s="1"/>
  <c r="AY126" i="1"/>
  <c r="AA61" i="9" s="1"/>
  <c r="AX126" i="1"/>
  <c r="Z61" i="9" s="1"/>
  <c r="AW126" i="1"/>
  <c r="Y61" i="9" s="1"/>
  <c r="W61" i="9"/>
  <c r="AX125" i="1"/>
  <c r="Z60" i="9" s="1"/>
  <c r="AW125" i="1"/>
  <c r="Y60" i="9" s="1"/>
  <c r="AV125" i="1"/>
  <c r="X60" i="9" s="1"/>
  <c r="AU125" i="1"/>
  <c r="W60" i="9" s="1"/>
  <c r="AY122" i="1"/>
  <c r="AA59" i="9" s="1"/>
  <c r="AX122" i="1"/>
  <c r="Z59" i="9" s="1"/>
  <c r="AW122" i="1"/>
  <c r="Y59" i="9" s="1"/>
  <c r="AV122" i="1"/>
  <c r="X59" i="9" s="1"/>
  <c r="AU122" i="1"/>
  <c r="W59" i="9" s="1"/>
  <c r="AA58" i="9"/>
  <c r="Y58" i="9"/>
  <c r="AV121" i="1"/>
  <c r="X58" i="9" s="1"/>
  <c r="AY118" i="1"/>
  <c r="AA57" i="9" s="1"/>
  <c r="AX118" i="1"/>
  <c r="Z57" i="9" s="1"/>
  <c r="X57" i="9"/>
  <c r="AY117" i="1"/>
  <c r="AA56" i="9" s="1"/>
  <c r="Z20" i="9"/>
  <c r="X22" i="9"/>
  <c r="Y8" i="9"/>
  <c r="X25" i="9"/>
  <c r="Z25" i="9"/>
  <c r="AA25" i="9"/>
  <c r="AW90" i="1"/>
  <c r="Y25" i="9" s="1"/>
  <c r="AU90" i="1"/>
  <c r="W25" i="9" s="1"/>
  <c r="AU89" i="1"/>
  <c r="W24" i="9" s="1"/>
  <c r="Y24" i="9"/>
  <c r="AA24" i="9"/>
  <c r="AV89" i="1"/>
  <c r="X24" i="9" s="1"/>
  <c r="AX89" i="1"/>
  <c r="Z24" i="9" s="1"/>
  <c r="AW88" i="1"/>
  <c r="Y23" i="9" s="1"/>
  <c r="AA23" i="9"/>
  <c r="AU88" i="1"/>
  <c r="W23" i="9" s="1"/>
  <c r="AX88" i="1"/>
  <c r="Z23" i="9" s="1"/>
  <c r="X23" i="9"/>
  <c r="W22" i="9"/>
  <c r="AA22" i="9"/>
  <c r="Z22" i="9"/>
  <c r="Y22" i="9"/>
  <c r="Y20" i="9"/>
  <c r="Z19" i="9"/>
  <c r="AA19" i="9"/>
  <c r="AA18" i="9"/>
  <c r="AU83" i="1"/>
  <c r="W18" i="9" s="1"/>
  <c r="Z18" i="9"/>
  <c r="AV83" i="1"/>
  <c r="X18" i="9" s="1"/>
  <c r="AW83" i="1"/>
  <c r="Y18" i="9" s="1"/>
  <c r="AV82" i="1"/>
  <c r="X17" i="9" s="1"/>
  <c r="AW82" i="1"/>
  <c r="Y17" i="9" s="1"/>
  <c r="W17" i="9"/>
  <c r="AA17" i="9"/>
  <c r="AX82" i="1"/>
  <c r="Z17" i="9" s="1"/>
  <c r="X16" i="9"/>
  <c r="AX81" i="1"/>
  <c r="Y16" i="9"/>
  <c r="AY81" i="1"/>
  <c r="W15" i="9"/>
  <c r="AV80" i="1"/>
  <c r="X15" i="9" s="1"/>
  <c r="Z15" i="9"/>
  <c r="AY80" i="1"/>
  <c r="AA15" i="9" s="1"/>
  <c r="AW80" i="1"/>
  <c r="Y15" i="9" s="1"/>
  <c r="Y14" i="9"/>
  <c r="AX79" i="1"/>
  <c r="Z14" i="9" s="1"/>
  <c r="X14" i="9"/>
  <c r="W14" i="9"/>
  <c r="AY79" i="1"/>
  <c r="AA14" i="9" s="1"/>
  <c r="W13" i="9"/>
  <c r="AA13" i="9"/>
  <c r="Z13" i="9"/>
  <c r="Y13" i="9"/>
  <c r="AV78" i="1"/>
  <c r="X13" i="9" s="1"/>
  <c r="AY77" i="1"/>
  <c r="AA12" i="9" s="1"/>
  <c r="AX77" i="1"/>
  <c r="Z12" i="9" s="1"/>
  <c r="AV76" i="1"/>
  <c r="X11" i="9" s="1"/>
  <c r="AA11" i="9"/>
  <c r="AX76" i="1"/>
  <c r="Z11" i="9" s="1"/>
  <c r="AV75" i="1"/>
  <c r="X10" i="9" s="1"/>
  <c r="AU75" i="1"/>
  <c r="W10" i="9" s="1"/>
  <c r="Z10" i="9"/>
  <c r="AY74" i="1"/>
  <c r="AA9" i="9" s="1"/>
  <c r="AX74" i="1"/>
  <c r="Z9" i="9" s="1"/>
  <c r="AW74" i="1"/>
  <c r="Y9" i="9" s="1"/>
  <c r="W9" i="9"/>
  <c r="AV74" i="1"/>
  <c r="X9" i="9" s="1"/>
  <c r="X8" i="9"/>
  <c r="AY73" i="1"/>
  <c r="AA8" i="9" s="1"/>
  <c r="AX73" i="1"/>
  <c r="Z8" i="9" s="1"/>
  <c r="AA7" i="9"/>
  <c r="Y7" i="9"/>
  <c r="Z7" i="9"/>
  <c r="X7" i="9"/>
  <c r="X6" i="9"/>
  <c r="AA6" i="9"/>
  <c r="Z6" i="9"/>
  <c r="AW71" i="1"/>
  <c r="Y6" i="9" s="1"/>
  <c r="W6" i="9"/>
  <c r="AN195" i="1"/>
  <c r="AA62" i="9"/>
  <c r="W58" i="9"/>
  <c r="M57" i="9"/>
  <c r="J20" i="9"/>
  <c r="I16" i="9"/>
  <c r="AA65" i="9"/>
  <c r="X61" i="9"/>
  <c r="AA60" i="9"/>
  <c r="Y57" i="9"/>
  <c r="W57" i="9"/>
  <c r="W56" i="9"/>
  <c r="X56" i="9"/>
  <c r="AA21" i="9"/>
  <c r="AA20" i="9"/>
  <c r="Z21" i="9"/>
  <c r="Y21" i="9"/>
  <c r="Y19" i="9"/>
  <c r="X21" i="9"/>
  <c r="X20" i="9"/>
  <c r="X19" i="9"/>
  <c r="W16" i="9"/>
  <c r="W21" i="9"/>
  <c r="W20" i="9"/>
  <c r="W19" i="9"/>
  <c r="X12" i="9"/>
  <c r="W12" i="9"/>
  <c r="Y12" i="9"/>
  <c r="Y11" i="9"/>
  <c r="W11" i="9"/>
  <c r="AA10" i="9"/>
  <c r="W8" i="9"/>
  <c r="W7" i="9"/>
  <c r="AJ176" i="1"/>
  <c r="AO20" i="6" s="1"/>
  <c r="AJ73" i="1"/>
  <c r="J8" i="9" s="1"/>
  <c r="AL67" i="1"/>
  <c r="AK75" i="1"/>
  <c r="AM77" i="1"/>
  <c r="M12" i="9" s="1"/>
  <c r="AJ78" i="1"/>
  <c r="J13" i="9" s="1"/>
  <c r="K7" i="9"/>
  <c r="L9" i="9"/>
  <c r="J15" i="9"/>
  <c r="K57" i="9"/>
  <c r="M6" i="9"/>
  <c r="J7" i="9"/>
  <c r="J57" i="9"/>
  <c r="AT21" i="6"/>
  <c r="AJ67" i="1"/>
  <c r="AI75" i="1"/>
  <c r="I10" i="9" s="1"/>
  <c r="AK77" i="1"/>
  <c r="K12" i="9" s="1"/>
  <c r="AM79" i="1"/>
  <c r="M14" i="9" s="1"/>
  <c r="AM117" i="1"/>
  <c r="M56" i="9" s="1"/>
  <c r="AM176" i="1"/>
  <c r="BD20" i="6" s="1"/>
  <c r="L6" i="9"/>
  <c r="I7" i="9"/>
  <c r="J21" i="9"/>
  <c r="I57" i="9"/>
  <c r="AT17" i="6"/>
  <c r="AL117" i="1"/>
  <c r="L56" i="9" s="1"/>
  <c r="AL176" i="1"/>
  <c r="AY20" i="6" s="1"/>
  <c r="K6" i="9"/>
  <c r="M8" i="9"/>
  <c r="AO17" i="6"/>
  <c r="AK117" i="1"/>
  <c r="K56" i="9" s="1"/>
  <c r="AK176" i="1"/>
  <c r="AT20" i="6" s="1"/>
  <c r="J6" i="9"/>
  <c r="L8" i="9"/>
  <c r="AM72" i="1"/>
  <c r="M7" i="9" s="1"/>
  <c r="AJ117" i="1"/>
  <c r="J56" i="9" s="1"/>
  <c r="AI176" i="1"/>
  <c r="AJ20" i="6" s="1"/>
  <c r="K25" i="9"/>
  <c r="M21" i="9"/>
  <c r="I6" i="9"/>
  <c r="K8" i="9"/>
  <c r="K59" i="9"/>
  <c r="K62" i="9"/>
  <c r="I63" i="9"/>
  <c r="AI125" i="1"/>
  <c r="I60" i="9" s="1"/>
  <c r="K16" i="9"/>
  <c r="M20" i="9"/>
  <c r="L59" i="9"/>
  <c r="I20" i="9"/>
  <c r="M19" i="9"/>
  <c r="K24" i="9"/>
  <c r="L18" i="9"/>
  <c r="K22" i="9"/>
  <c r="L16" i="9"/>
  <c r="M18" i="9"/>
  <c r="J18" i="9"/>
  <c r="K20" i="9"/>
  <c r="J16" i="9"/>
  <c r="AM125" i="1"/>
  <c r="M60" i="9" s="1"/>
  <c r="AI67" i="1"/>
  <c r="AL129" i="1"/>
  <c r="L62" i="9" s="1"/>
  <c r="AK67" i="1"/>
  <c r="AK121" i="1"/>
  <c r="K58" i="9" s="1"/>
  <c r="AI133" i="1"/>
  <c r="I64" i="9" s="1"/>
  <c r="AM67" i="1"/>
  <c r="AM133" i="1"/>
  <c r="M64" i="9" s="1"/>
  <c r="AI129" i="1"/>
  <c r="I62" i="9" s="1"/>
  <c r="AM121" i="1"/>
  <c r="AJ122" i="1"/>
  <c r="J59" i="9" s="1"/>
  <c r="AL126" i="1"/>
  <c r="L61" i="9" s="1"/>
  <c r="AJ129" i="1"/>
  <c r="J62" i="9" s="1"/>
  <c r="AK133" i="1"/>
  <c r="K64" i="9" s="1"/>
  <c r="J63" i="9"/>
  <c r="AL121" i="1"/>
  <c r="AI122" i="1"/>
  <c r="I59" i="9" s="1"/>
  <c r="AK126" i="1"/>
  <c r="K61" i="9" s="1"/>
  <c r="AJ133" i="1"/>
  <c r="J64" i="9" s="1"/>
  <c r="L64" i="9"/>
  <c r="M59" i="9"/>
  <c r="AJ126" i="1"/>
  <c r="J61" i="9" s="1"/>
  <c r="AM130" i="1"/>
  <c r="M63" i="9" s="1"/>
  <c r="M62" i="9"/>
  <c r="AJ121" i="1"/>
  <c r="AL125" i="1"/>
  <c r="L60" i="9" s="1"/>
  <c r="AI126" i="1"/>
  <c r="I61" i="9" s="1"/>
  <c r="AM134" i="1"/>
  <c r="M65" i="9" s="1"/>
  <c r="J60" i="9"/>
  <c r="AI121" i="1"/>
  <c r="I58" i="9" s="1"/>
  <c r="AK125" i="1"/>
  <c r="K60" i="9" s="1"/>
  <c r="AL134" i="1"/>
  <c r="L65" i="9" s="1"/>
  <c r="AK134" i="1"/>
  <c r="K65" i="9" s="1"/>
  <c r="K21" i="9"/>
  <c r="M25" i="9"/>
  <c r="AJ82" i="1"/>
  <c r="J17" i="9" s="1"/>
  <c r="M17" i="9"/>
  <c r="I23" i="9"/>
  <c r="J22" i="9"/>
  <c r="M24" i="9"/>
  <c r="I22" i="9"/>
  <c r="M23" i="9"/>
  <c r="M22" i="9"/>
  <c r="AJ90" i="1"/>
  <c r="J25" i="9" s="1"/>
  <c r="K19" i="9"/>
  <c r="L23" i="9"/>
  <c r="AI90" i="1"/>
  <c r="I25" i="9" s="1"/>
  <c r="AJ89" i="1"/>
  <c r="I17" i="9"/>
  <c r="J19" i="9"/>
  <c r="L22" i="9"/>
  <c r="AL86" i="1"/>
  <c r="L21" i="9" s="1"/>
  <c r="K23" i="9"/>
  <c r="AL85" i="1"/>
  <c r="AY21" i="6"/>
  <c r="AJ21" i="6"/>
  <c r="AY17" i="6"/>
  <c r="AM81" i="1"/>
  <c r="M16" i="9" s="1"/>
  <c r="AI84" i="1"/>
  <c r="I19" i="9" s="1"/>
  <c r="AW31" i="1"/>
  <c r="AY67" i="1"/>
  <c r="AU67" i="1"/>
  <c r="AM31" i="1"/>
  <c r="BD10" i="6" s="1"/>
  <c r="AU31" i="1"/>
  <c r="AJ31" i="1"/>
  <c r="AO10" i="6" s="1"/>
  <c r="AW67" i="1"/>
  <c r="AY31" i="1"/>
  <c r="AV31" i="1"/>
  <c r="AX31" i="1"/>
  <c r="AV67" i="1"/>
  <c r="AX67" i="1"/>
  <c r="AL31" i="1"/>
  <c r="AY10" i="6" s="1"/>
  <c r="AK31" i="1"/>
  <c r="AT10" i="6" s="1"/>
  <c r="AI31" i="1"/>
  <c r="AJ10" i="6" s="1"/>
  <c r="AE13" i="1"/>
  <c r="AF11" i="1"/>
  <c r="AE11" i="1"/>
  <c r="AF66" i="1"/>
  <c r="AD66" i="1"/>
  <c r="AE66" i="1"/>
  <c r="AG66" i="1"/>
  <c r="AH66" i="1"/>
  <c r="AD64" i="1"/>
  <c r="AE64" i="1"/>
  <c r="AG64" i="1"/>
  <c r="AH64" i="1"/>
  <c r="AF64" i="1"/>
  <c r="AE62" i="1"/>
  <c r="AF62" i="1"/>
  <c r="AG62" i="1"/>
  <c r="AH62" i="1"/>
  <c r="AD62" i="1"/>
  <c r="AE60" i="1"/>
  <c r="AF60" i="1"/>
  <c r="AG60" i="1"/>
  <c r="AH60" i="1"/>
  <c r="AD60" i="1"/>
  <c r="AH58" i="1"/>
  <c r="AG58" i="1"/>
  <c r="AF58" i="1"/>
  <c r="AE58" i="1"/>
  <c r="AD58" i="1"/>
  <c r="E90" i="4"/>
  <c r="S58" i="1"/>
  <c r="Q5" i="8"/>
  <c r="Q6" i="8"/>
  <c r="Q7" i="8"/>
  <c r="Q8" i="8"/>
  <c r="Q9" i="8"/>
  <c r="Q10" i="8"/>
  <c r="Q11" i="8"/>
  <c r="Q12" i="8"/>
  <c r="Q13" i="8"/>
  <c r="Q4" i="8"/>
  <c r="N4" i="8"/>
  <c r="Q64" i="9"/>
  <c r="Q65" i="9"/>
  <c r="P65" i="9"/>
  <c r="P64" i="9"/>
  <c r="Q62" i="9"/>
  <c r="Q63" i="9"/>
  <c r="P63" i="9"/>
  <c r="P62" i="9"/>
  <c r="Q60" i="9"/>
  <c r="Q61" i="9"/>
  <c r="P61" i="9"/>
  <c r="P60" i="9"/>
  <c r="Q58" i="9"/>
  <c r="Q59" i="9"/>
  <c r="P59" i="9"/>
  <c r="P58" i="9"/>
  <c r="P57" i="9"/>
  <c r="Q57" i="9"/>
  <c r="Q56" i="9"/>
  <c r="P56" i="9"/>
  <c r="C57" i="9"/>
  <c r="C58" i="9"/>
  <c r="C59" i="9"/>
  <c r="C60" i="9"/>
  <c r="C61" i="9"/>
  <c r="C62" i="9"/>
  <c r="C63" i="9"/>
  <c r="C64" i="9"/>
  <c r="C65" i="9"/>
  <c r="B57" i="9"/>
  <c r="B58" i="9"/>
  <c r="B59" i="9"/>
  <c r="B60" i="9"/>
  <c r="B61" i="9"/>
  <c r="B62" i="9"/>
  <c r="B63" i="9"/>
  <c r="B64" i="9"/>
  <c r="B65" i="9"/>
  <c r="C56" i="9"/>
  <c r="B56" i="9"/>
  <c r="Q7" i="9"/>
  <c r="Q8" i="9"/>
  <c r="Q9" i="9"/>
  <c r="Q10" i="9"/>
  <c r="Q11" i="9"/>
  <c r="Q12" i="9"/>
  <c r="Q13" i="9"/>
  <c r="Q14" i="9"/>
  <c r="Q15" i="9"/>
  <c r="Q16" i="9"/>
  <c r="Q17" i="9"/>
  <c r="Q18" i="9"/>
  <c r="Q19" i="9"/>
  <c r="Q20" i="9"/>
  <c r="Q21" i="9"/>
  <c r="Q22" i="9"/>
  <c r="Q23" i="9"/>
  <c r="Q24" i="9"/>
  <c r="Q25" i="9"/>
  <c r="Q6" i="9"/>
  <c r="P7" i="9"/>
  <c r="P8" i="9"/>
  <c r="P9" i="9"/>
  <c r="P10" i="9"/>
  <c r="P11" i="9"/>
  <c r="P12" i="9"/>
  <c r="P13" i="9"/>
  <c r="P14" i="9"/>
  <c r="P15" i="9"/>
  <c r="P16" i="9"/>
  <c r="P17" i="9"/>
  <c r="P18" i="9"/>
  <c r="P19" i="9"/>
  <c r="P20" i="9"/>
  <c r="P21" i="9"/>
  <c r="P22" i="9"/>
  <c r="P23" i="9"/>
  <c r="P24" i="9"/>
  <c r="P25" i="9"/>
  <c r="P6" i="9"/>
  <c r="B50" i="9"/>
  <c r="B32" i="9"/>
  <c r="B33" i="9"/>
  <c r="B34" i="9"/>
  <c r="B35" i="9"/>
  <c r="B36" i="9"/>
  <c r="B37" i="9"/>
  <c r="B38" i="9"/>
  <c r="B39" i="9"/>
  <c r="B40" i="9"/>
  <c r="B41" i="9"/>
  <c r="B42" i="9"/>
  <c r="B43" i="9"/>
  <c r="B44" i="9"/>
  <c r="B45" i="9"/>
  <c r="B46" i="9"/>
  <c r="B47" i="9"/>
  <c r="B48" i="9"/>
  <c r="B49" i="9"/>
  <c r="B31" i="9"/>
  <c r="C7" i="9"/>
  <c r="C8" i="9"/>
  <c r="C9" i="9"/>
  <c r="C10" i="9"/>
  <c r="C11" i="9"/>
  <c r="C12" i="9"/>
  <c r="C13" i="9"/>
  <c r="C14" i="9"/>
  <c r="C15" i="9"/>
  <c r="C16" i="9"/>
  <c r="C17" i="9"/>
  <c r="C18" i="9"/>
  <c r="C19" i="9"/>
  <c r="C20" i="9"/>
  <c r="C21" i="9"/>
  <c r="C22" i="9"/>
  <c r="C23" i="9"/>
  <c r="C24" i="9"/>
  <c r="C25" i="9"/>
  <c r="C6" i="9"/>
  <c r="B25" i="9"/>
  <c r="B7" i="9"/>
  <c r="B8" i="9"/>
  <c r="B9" i="9"/>
  <c r="B10" i="9"/>
  <c r="B11" i="9"/>
  <c r="B12" i="9"/>
  <c r="B13" i="9"/>
  <c r="B14" i="9"/>
  <c r="B15" i="9"/>
  <c r="B16" i="9"/>
  <c r="B17" i="9"/>
  <c r="B18" i="9"/>
  <c r="B19" i="9"/>
  <c r="B20" i="9"/>
  <c r="B21" i="9"/>
  <c r="B22" i="9"/>
  <c r="B23" i="9"/>
  <c r="B24" i="9"/>
  <c r="B6" i="9"/>
  <c r="Z16" i="9" l="1"/>
  <c r="AX91" i="1"/>
  <c r="AV91" i="1"/>
  <c r="AA16" i="9"/>
  <c r="AA26" i="9" s="1"/>
  <c r="AY91" i="1"/>
  <c r="AU91" i="1"/>
  <c r="AW91" i="1"/>
  <c r="AL91" i="1"/>
  <c r="AY13" i="6" s="1"/>
  <c r="AK91" i="1"/>
  <c r="AT13" i="6" s="1"/>
  <c r="AM91" i="1"/>
  <c r="BD13" i="6" s="1"/>
  <c r="AI91" i="1"/>
  <c r="AJ13" i="6" s="1"/>
  <c r="AN58" i="1"/>
  <c r="AJ91" i="1"/>
  <c r="AO13" i="6" s="1"/>
  <c r="Z66" i="9"/>
  <c r="Y66" i="9"/>
  <c r="X66" i="9"/>
  <c r="AA66" i="9"/>
  <c r="X26" i="9"/>
  <c r="Y26" i="9"/>
  <c r="Z26" i="9"/>
  <c r="W66" i="9"/>
  <c r="W26" i="9"/>
  <c r="M26" i="9"/>
  <c r="K10" i="9"/>
  <c r="K26" i="9" s="1"/>
  <c r="I66" i="9"/>
  <c r="K66" i="9"/>
  <c r="J24" i="9"/>
  <c r="J26" i="9" s="1"/>
  <c r="AN66" i="1"/>
  <c r="AN62" i="1"/>
  <c r="AN60" i="1"/>
  <c r="L58" i="9"/>
  <c r="L66" i="9" s="1"/>
  <c r="AN64" i="1"/>
  <c r="M58" i="9"/>
  <c r="M66" i="9" s="1"/>
  <c r="J58" i="9"/>
  <c r="J66" i="9" s="1"/>
  <c r="I26" i="9"/>
  <c r="L20" i="9"/>
  <c r="L26" i="9" s="1"/>
  <c r="BC95" i="1"/>
  <c r="BC96" i="1"/>
  <c r="BC97" i="1"/>
  <c r="BC98" i="1"/>
  <c r="BC99" i="1"/>
  <c r="BC100" i="1"/>
  <c r="BC101" i="1"/>
  <c r="BC102" i="1"/>
  <c r="BC103" i="1"/>
  <c r="BC104" i="1"/>
  <c r="BC105" i="1"/>
  <c r="BC106" i="1"/>
  <c r="BC107" i="1"/>
  <c r="BC108" i="1"/>
  <c r="BB108" i="1"/>
  <c r="BB107" i="1"/>
  <c r="BB106" i="1"/>
  <c r="BB105" i="1"/>
  <c r="BB104" i="1"/>
  <c r="BB103" i="1"/>
  <c r="BB102" i="1"/>
  <c r="BB101" i="1"/>
  <c r="BB100" i="1"/>
  <c r="BB99" i="1"/>
  <c r="BB98" i="1"/>
  <c r="BB97" i="1"/>
  <c r="BB96" i="1"/>
  <c r="BB95" i="1"/>
  <c r="BD74" i="1"/>
  <c r="BD75" i="1"/>
  <c r="BD76" i="1"/>
  <c r="BD77" i="1"/>
  <c r="BD78" i="1"/>
  <c r="BD79" i="1"/>
  <c r="BD80" i="1"/>
  <c r="BD81" i="1"/>
  <c r="BD82" i="1"/>
  <c r="BD83" i="1"/>
  <c r="BD84" i="1"/>
  <c r="BD85" i="1"/>
  <c r="BD86" i="1"/>
  <c r="BD87" i="1"/>
  <c r="BB74" i="1"/>
  <c r="BB75" i="1"/>
  <c r="BB76" i="1"/>
  <c r="BB77" i="1"/>
  <c r="BB78" i="1"/>
  <c r="BB79" i="1"/>
  <c r="BB80" i="1"/>
  <c r="BB81" i="1"/>
  <c r="BB82" i="1"/>
  <c r="BB83" i="1"/>
  <c r="BB84" i="1"/>
  <c r="BB85" i="1"/>
  <c r="BB86" i="1"/>
  <c r="BB87" i="1"/>
  <c r="B95" i="1"/>
  <c r="B96" i="1"/>
  <c r="B97" i="1"/>
  <c r="B98" i="1"/>
  <c r="B99" i="1"/>
  <c r="B100" i="1"/>
  <c r="B101" i="1"/>
  <c r="B102" i="1"/>
  <c r="B103" i="1"/>
  <c r="B104" i="1"/>
  <c r="B105" i="1"/>
  <c r="B106" i="1"/>
  <c r="B107" i="1"/>
  <c r="B108" i="1"/>
  <c r="C95" i="1"/>
  <c r="C96" i="1"/>
  <c r="C97" i="1"/>
  <c r="C98" i="1"/>
  <c r="C99" i="1"/>
  <c r="C100" i="1"/>
  <c r="C101" i="1"/>
  <c r="C102" i="1"/>
  <c r="C103" i="1"/>
  <c r="C104" i="1"/>
  <c r="C105" i="1"/>
  <c r="C106" i="1"/>
  <c r="C107" i="1"/>
  <c r="C108" i="1"/>
  <c r="C109" i="1"/>
  <c r="C110" i="1"/>
  <c r="C111" i="1"/>
  <c r="C112" i="1"/>
  <c r="D73" i="1"/>
  <c r="D74" i="1"/>
  <c r="D75" i="1"/>
  <c r="D76" i="1"/>
  <c r="D77" i="1"/>
  <c r="D78" i="1"/>
  <c r="D79" i="1"/>
  <c r="D80" i="1"/>
  <c r="D81" i="1"/>
  <c r="D82" i="1"/>
  <c r="D83" i="1"/>
  <c r="D84" i="1"/>
  <c r="D85" i="1"/>
  <c r="D86" i="1"/>
  <c r="D87" i="1"/>
  <c r="B74" i="1"/>
  <c r="B75" i="1"/>
  <c r="B76" i="1"/>
  <c r="B77" i="1"/>
  <c r="B78" i="1"/>
  <c r="B79" i="1"/>
  <c r="B80" i="1"/>
  <c r="B81" i="1"/>
  <c r="B82" i="1"/>
  <c r="B83" i="1"/>
  <c r="B84" i="1"/>
  <c r="B85" i="1"/>
  <c r="B86" i="1"/>
  <c r="B87" i="1"/>
  <c r="AQ175" i="1"/>
  <c r="AR174" i="1"/>
  <c r="AT173" i="1"/>
  <c r="AT174" i="1"/>
  <c r="AT175" i="1"/>
  <c r="AS173" i="1"/>
  <c r="AS174" i="1"/>
  <c r="AS175" i="1"/>
  <c r="AR173" i="1"/>
  <c r="AR175" i="1"/>
  <c r="AQ173" i="1"/>
  <c r="AQ174" i="1"/>
  <c r="AP173" i="1"/>
  <c r="AP174" i="1"/>
  <c r="AP175" i="1"/>
  <c r="AQ172" i="1"/>
  <c r="AR172" i="1"/>
  <c r="AS172" i="1"/>
  <c r="AT172" i="1"/>
  <c r="AQ171" i="1"/>
  <c r="AR171" i="1"/>
  <c r="AS171" i="1"/>
  <c r="AT171" i="1"/>
  <c r="AP172" i="1"/>
  <c r="AP171" i="1"/>
  <c r="AH171" i="1"/>
  <c r="BO211" i="1" a="1"/>
  <c r="BO211" i="1" s="1"/>
  <c r="G86" i="4"/>
  <c r="F82" i="4" a="1"/>
  <c r="F82" i="4" s="1"/>
  <c r="F78" i="4" a="1"/>
  <c r="F78" i="4" s="1"/>
  <c r="F74" i="4" a="1"/>
  <c r="F74" i="4" s="1"/>
  <c r="F70" i="4"/>
  <c r="V30" i="1"/>
  <c r="U26" i="1" a="1"/>
  <c r="U26" i="1" s="1"/>
  <c r="U22" i="1" a="1"/>
  <c r="U22" i="1" s="1"/>
  <c r="U18" i="1" a="1"/>
  <c r="U18" i="1" s="1"/>
  <c r="U14" i="1"/>
  <c r="AD11" i="1"/>
  <c r="AG11" i="1"/>
  <c r="AH11" i="1"/>
  <c r="AD12" i="1"/>
  <c r="AE12" i="1"/>
  <c r="AF12" i="1"/>
  <c r="AG12" i="1"/>
  <c r="AH12" i="1"/>
  <c r="AD13" i="1"/>
  <c r="AF13" i="1"/>
  <c r="AG13" i="1"/>
  <c r="AH13" i="1"/>
  <c r="AD14" i="1"/>
  <c r="AE14" i="1"/>
  <c r="AE74" i="1" s="1"/>
  <c r="E9" i="9" s="1"/>
  <c r="AF14" i="1"/>
  <c r="AF74" i="1" s="1"/>
  <c r="F9" i="9" s="1"/>
  <c r="AG14" i="1"/>
  <c r="AG74" i="1" s="1"/>
  <c r="G9" i="9" s="1"/>
  <c r="AH14" i="1"/>
  <c r="AH74" i="1" s="1"/>
  <c r="H9" i="9" s="1"/>
  <c r="AD15" i="1"/>
  <c r="AE15" i="1"/>
  <c r="AE75" i="1" s="1"/>
  <c r="E10" i="9" s="1"/>
  <c r="AF15" i="1"/>
  <c r="AF75" i="1" s="1"/>
  <c r="F10" i="9" s="1"/>
  <c r="AG15" i="1"/>
  <c r="AG75" i="1" s="1"/>
  <c r="G10" i="9" s="1"/>
  <c r="AH15" i="1"/>
  <c r="AH75" i="1" s="1"/>
  <c r="H10" i="9" s="1"/>
  <c r="BR35" i="1"/>
  <c r="BR36" i="1"/>
  <c r="BR37" i="1"/>
  <c r="BR38" i="1"/>
  <c r="BR39" i="1"/>
  <c r="BR40" i="1"/>
  <c r="BR41" i="1"/>
  <c r="BR42" i="1"/>
  <c r="BR43" i="1"/>
  <c r="BR44" i="1"/>
  <c r="BR45" i="1"/>
  <c r="BR46" i="1"/>
  <c r="F35" i="1"/>
  <c r="F36" i="1"/>
  <c r="F37" i="1"/>
  <c r="F38" i="1"/>
  <c r="F39" i="1"/>
  <c r="F40" i="1"/>
  <c r="F41" i="1"/>
  <c r="F42" i="1"/>
  <c r="F43" i="1"/>
  <c r="F44" i="1"/>
  <c r="F45" i="1"/>
  <c r="F46" i="1"/>
  <c r="AT74" i="1"/>
  <c r="AT75" i="1"/>
  <c r="V10" i="9" s="1"/>
  <c r="AT76" i="1"/>
  <c r="V11" i="9" s="1"/>
  <c r="AT77" i="1"/>
  <c r="V12" i="9" s="1"/>
  <c r="AT78" i="1"/>
  <c r="V13" i="9" s="1"/>
  <c r="AT79" i="1"/>
  <c r="V14" i="9" s="1"/>
  <c r="AT80" i="1"/>
  <c r="V15" i="9" s="1"/>
  <c r="AS14" i="1"/>
  <c r="AS74" i="1" s="1"/>
  <c r="AS15" i="1"/>
  <c r="AS75" i="1" s="1"/>
  <c r="U10" i="9" s="1"/>
  <c r="AS16" i="1"/>
  <c r="AS76" i="1" s="1"/>
  <c r="U11" i="9" s="1"/>
  <c r="AS17" i="1"/>
  <c r="AS77" i="1" s="1"/>
  <c r="U12" i="9" s="1"/>
  <c r="AS18" i="1"/>
  <c r="AS78" i="1" s="1"/>
  <c r="U13" i="9" s="1"/>
  <c r="AS19" i="1"/>
  <c r="AS79" i="1" s="1"/>
  <c r="U14" i="9" s="1"/>
  <c r="AS20" i="1"/>
  <c r="AS80" i="1" s="1"/>
  <c r="U15" i="9" s="1"/>
  <c r="AS21" i="1"/>
  <c r="AS22" i="1"/>
  <c r="AS23" i="1"/>
  <c r="AS24" i="1"/>
  <c r="AS25" i="1"/>
  <c r="AS26" i="1"/>
  <c r="AS27" i="1"/>
  <c r="AR14" i="1"/>
  <c r="AR15" i="1"/>
  <c r="AR75" i="1" s="1"/>
  <c r="T10" i="9" s="1"/>
  <c r="AR16" i="1"/>
  <c r="AR76" i="1" s="1"/>
  <c r="T11" i="9" s="1"/>
  <c r="AR17" i="1"/>
  <c r="AR77" i="1" s="1"/>
  <c r="T12" i="9" s="1"/>
  <c r="AR18" i="1"/>
  <c r="AR78" i="1" s="1"/>
  <c r="T13" i="9" s="1"/>
  <c r="AR19" i="1"/>
  <c r="AR79" i="1" s="1"/>
  <c r="T14" i="9" s="1"/>
  <c r="AR20" i="1"/>
  <c r="AR80" i="1" s="1"/>
  <c r="T15" i="9" s="1"/>
  <c r="AR21" i="1"/>
  <c r="AR22" i="1"/>
  <c r="AR23" i="1"/>
  <c r="AR24" i="1"/>
  <c r="AR25" i="1"/>
  <c r="AR26" i="1"/>
  <c r="AR27" i="1"/>
  <c r="AQ14" i="1"/>
  <c r="AQ74" i="1" s="1"/>
  <c r="AQ15" i="1"/>
  <c r="AQ75" i="1" s="1"/>
  <c r="S10" i="9" s="1"/>
  <c r="AQ16" i="1"/>
  <c r="AQ76" i="1" s="1"/>
  <c r="S11" i="9" s="1"/>
  <c r="AQ17" i="1"/>
  <c r="AQ77" i="1" s="1"/>
  <c r="AQ18" i="1"/>
  <c r="AQ78" i="1" s="1"/>
  <c r="S13" i="9" s="1"/>
  <c r="AQ19" i="1"/>
  <c r="AQ79" i="1" s="1"/>
  <c r="S14" i="9" s="1"/>
  <c r="AQ20" i="1"/>
  <c r="AQ80" i="1" s="1"/>
  <c r="S15" i="9" s="1"/>
  <c r="AQ21" i="1"/>
  <c r="AQ22" i="1"/>
  <c r="AQ23" i="1"/>
  <c r="AQ24" i="1"/>
  <c r="AQ25" i="1"/>
  <c r="AQ26" i="1"/>
  <c r="AQ27" i="1"/>
  <c r="AP14" i="1"/>
  <c r="AP15" i="1"/>
  <c r="AP16" i="1"/>
  <c r="AP17" i="1"/>
  <c r="AP18" i="1"/>
  <c r="AP19" i="1"/>
  <c r="AP20" i="1"/>
  <c r="AP21" i="1"/>
  <c r="AP22" i="1"/>
  <c r="AP23" i="1"/>
  <c r="AP24" i="1"/>
  <c r="AP25" i="1"/>
  <c r="AP26" i="1"/>
  <c r="AP27" i="1"/>
  <c r="AH16" i="1"/>
  <c r="AH76" i="1" s="1"/>
  <c r="H11" i="9" s="1"/>
  <c r="AH17" i="1"/>
  <c r="AH77" i="1" s="1"/>
  <c r="H12" i="9" s="1"/>
  <c r="AH18" i="1"/>
  <c r="AH78" i="1" s="1"/>
  <c r="H13" i="9" s="1"/>
  <c r="AH19" i="1"/>
  <c r="AH79" i="1" s="1"/>
  <c r="H14" i="9" s="1"/>
  <c r="AH20" i="1"/>
  <c r="AH80" i="1" s="1"/>
  <c r="H15" i="9" s="1"/>
  <c r="AH21" i="1"/>
  <c r="AH22" i="1"/>
  <c r="AH23" i="1"/>
  <c r="AH24" i="1"/>
  <c r="AH25" i="1"/>
  <c r="AH26" i="1"/>
  <c r="AH27" i="1"/>
  <c r="AH28" i="1"/>
  <c r="AG16" i="1"/>
  <c r="AG76" i="1" s="1"/>
  <c r="G11" i="9" s="1"/>
  <c r="AG17" i="1"/>
  <c r="AG77" i="1" s="1"/>
  <c r="G12" i="9" s="1"/>
  <c r="AG18" i="1"/>
  <c r="AG78" i="1" s="1"/>
  <c r="G13" i="9" s="1"/>
  <c r="AG19" i="1"/>
  <c r="AG79" i="1" s="1"/>
  <c r="G14" i="9" s="1"/>
  <c r="AG20" i="1"/>
  <c r="AG80" i="1" s="1"/>
  <c r="G15" i="9" s="1"/>
  <c r="AG21" i="1"/>
  <c r="AG22" i="1"/>
  <c r="AG23" i="1"/>
  <c r="AG24" i="1"/>
  <c r="AG25" i="1"/>
  <c r="AG26" i="1"/>
  <c r="AG27" i="1"/>
  <c r="AG28" i="1"/>
  <c r="AF16" i="1"/>
  <c r="AF76" i="1" s="1"/>
  <c r="F11" i="9" s="1"/>
  <c r="AF17" i="1"/>
  <c r="AF77" i="1" s="1"/>
  <c r="F12" i="9" s="1"/>
  <c r="AF18" i="1"/>
  <c r="AF78" i="1" s="1"/>
  <c r="F13" i="9" s="1"/>
  <c r="AF19" i="1"/>
  <c r="AF79" i="1" s="1"/>
  <c r="F14" i="9" s="1"/>
  <c r="AF20" i="1"/>
  <c r="AF80" i="1" s="1"/>
  <c r="F15" i="9" s="1"/>
  <c r="AF21" i="1"/>
  <c r="AF22" i="1"/>
  <c r="AF23" i="1"/>
  <c r="AF24" i="1"/>
  <c r="AF25" i="1"/>
  <c r="AF26" i="1"/>
  <c r="AF27" i="1"/>
  <c r="AF28" i="1"/>
  <c r="AE16" i="1"/>
  <c r="AE76" i="1" s="1"/>
  <c r="E11" i="9" s="1"/>
  <c r="AE17" i="1"/>
  <c r="AE77" i="1" s="1"/>
  <c r="E12" i="9" s="1"/>
  <c r="AE18" i="1"/>
  <c r="AE78" i="1" s="1"/>
  <c r="E13" i="9" s="1"/>
  <c r="AE19" i="1"/>
  <c r="AE79" i="1" s="1"/>
  <c r="E14" i="9" s="1"/>
  <c r="AE20" i="1"/>
  <c r="AE80" i="1" s="1"/>
  <c r="E15" i="9" s="1"/>
  <c r="AE21" i="1"/>
  <c r="AE22" i="1"/>
  <c r="AE23" i="1"/>
  <c r="AE24" i="1"/>
  <c r="AE25" i="1"/>
  <c r="AE26" i="1"/>
  <c r="AE27" i="1"/>
  <c r="AE28" i="1"/>
  <c r="AD16" i="1"/>
  <c r="AD17" i="1"/>
  <c r="AD18" i="1"/>
  <c r="AD19" i="1"/>
  <c r="AD20" i="1"/>
  <c r="AD21" i="1"/>
  <c r="AD22" i="1"/>
  <c r="AD23" i="1"/>
  <c r="AD24" i="1"/>
  <c r="AD25" i="1"/>
  <c r="AD26" i="1"/>
  <c r="AD27" i="1"/>
  <c r="AD28" i="1"/>
  <c r="AZ21" i="1" l="1"/>
  <c r="AN11" i="1"/>
  <c r="AZ25" i="1"/>
  <c r="AZ26" i="1"/>
  <c r="AZ22" i="1"/>
  <c r="AZ27" i="1"/>
  <c r="AZ23" i="1"/>
  <c r="AZ24" i="1"/>
  <c r="AP80" i="1"/>
  <c r="AZ80" i="1" s="1"/>
  <c r="AZ20" i="1"/>
  <c r="AP79" i="1"/>
  <c r="AZ79" i="1" s="1"/>
  <c r="AZ19" i="1"/>
  <c r="AP78" i="1"/>
  <c r="AZ78" i="1" s="1"/>
  <c r="AZ18" i="1"/>
  <c r="AP77" i="1"/>
  <c r="AZ77" i="1" s="1"/>
  <c r="AZ17" i="1"/>
  <c r="AP76" i="1"/>
  <c r="R11" i="9" s="1"/>
  <c r="AB11" i="9" s="1"/>
  <c r="AZ16" i="1"/>
  <c r="AP75" i="1"/>
  <c r="AZ75" i="1" s="1"/>
  <c r="AZ15" i="1"/>
  <c r="AP74" i="1"/>
  <c r="R9" i="9" s="1"/>
  <c r="AZ14" i="1"/>
  <c r="R12" i="9"/>
  <c r="AG38" i="1"/>
  <c r="AG98" i="1" s="1"/>
  <c r="G35" i="9" s="1"/>
  <c r="AL38" i="1"/>
  <c r="AM38" i="1"/>
  <c r="AK38" i="1"/>
  <c r="AI38" i="1"/>
  <c r="AJ38" i="1"/>
  <c r="AJ36" i="1"/>
  <c r="AK36" i="1"/>
  <c r="AL36" i="1"/>
  <c r="AM36" i="1"/>
  <c r="AI36" i="1"/>
  <c r="AN12" i="1"/>
  <c r="AD75" i="1"/>
  <c r="AN15" i="1"/>
  <c r="AD80" i="1"/>
  <c r="AN20" i="1"/>
  <c r="AD78" i="1"/>
  <c r="AN18" i="1"/>
  <c r="AD77" i="1"/>
  <c r="AN17" i="1"/>
  <c r="AH43" i="1"/>
  <c r="AH103" i="1" s="1"/>
  <c r="H40" i="9" s="1"/>
  <c r="AM43" i="1"/>
  <c r="AL43" i="1"/>
  <c r="AI43" i="1"/>
  <c r="AJ43" i="1"/>
  <c r="AK43" i="1"/>
  <c r="AH35" i="1"/>
  <c r="AH95" i="1" s="1"/>
  <c r="H32" i="9" s="1"/>
  <c r="AM35" i="1"/>
  <c r="AL35" i="1"/>
  <c r="AI35" i="1"/>
  <c r="AJ35" i="1"/>
  <c r="AK35" i="1"/>
  <c r="AG42" i="1"/>
  <c r="AG102" i="1" s="1"/>
  <c r="G39" i="9" s="1"/>
  <c r="AI42" i="1"/>
  <c r="AJ42" i="1"/>
  <c r="AK42" i="1"/>
  <c r="AL42" i="1"/>
  <c r="AM42" i="1"/>
  <c r="AN13" i="1"/>
  <c r="AN22" i="1"/>
  <c r="AE40" i="1"/>
  <c r="AE100" i="1" s="1"/>
  <c r="E37" i="9" s="1"/>
  <c r="AI40" i="1"/>
  <c r="AJ40" i="1"/>
  <c r="AK40" i="1"/>
  <c r="AL40" i="1"/>
  <c r="AM40" i="1"/>
  <c r="AG41" i="1"/>
  <c r="AG101" i="1" s="1"/>
  <c r="G38" i="9" s="1"/>
  <c r="AK41" i="1"/>
  <c r="AL41" i="1"/>
  <c r="AJ41" i="1"/>
  <c r="AM41" i="1"/>
  <c r="AI41" i="1"/>
  <c r="AD39" i="1"/>
  <c r="AD99" i="1" s="1"/>
  <c r="AI39" i="1"/>
  <c r="AJ39" i="1"/>
  <c r="AK39" i="1"/>
  <c r="AL39" i="1"/>
  <c r="AM39" i="1"/>
  <c r="AD76" i="1"/>
  <c r="AN16" i="1"/>
  <c r="AN27" i="1"/>
  <c r="AD79" i="1"/>
  <c r="AN19" i="1"/>
  <c r="AH37" i="1"/>
  <c r="AH97" i="1" s="1"/>
  <c r="H34" i="9" s="1"/>
  <c r="AI37" i="1"/>
  <c r="AJ37" i="1"/>
  <c r="AK37" i="1"/>
  <c r="AL37" i="1"/>
  <c r="AM37" i="1"/>
  <c r="AD74" i="1"/>
  <c r="AN14" i="1"/>
  <c r="AN21" i="1"/>
  <c r="AN28" i="1"/>
  <c r="AN26" i="1"/>
  <c r="AN25" i="1"/>
  <c r="AN24" i="1"/>
  <c r="AN23" i="1"/>
  <c r="AG46" i="1"/>
  <c r="AG106" i="1" s="1"/>
  <c r="G43" i="9" s="1"/>
  <c r="AI46" i="1"/>
  <c r="AK46" i="1"/>
  <c r="AJ46" i="1"/>
  <c r="AL46" i="1"/>
  <c r="AM46" i="1"/>
  <c r="AG45" i="1"/>
  <c r="AG105" i="1" s="1"/>
  <c r="G42" i="9" s="1"/>
  <c r="AI45" i="1"/>
  <c r="AJ45" i="1"/>
  <c r="AL45" i="1"/>
  <c r="AM45" i="1"/>
  <c r="AK45" i="1"/>
  <c r="AG44" i="1"/>
  <c r="AG104" i="1" s="1"/>
  <c r="G41" i="9" s="1"/>
  <c r="AL44" i="1"/>
  <c r="AM44" i="1"/>
  <c r="AI44" i="1"/>
  <c r="AK44" i="1"/>
  <c r="AJ44" i="1"/>
  <c r="AT45" i="1"/>
  <c r="AV45" i="1"/>
  <c r="AX45" i="1"/>
  <c r="AU45" i="1"/>
  <c r="AW45" i="1"/>
  <c r="AY45" i="1"/>
  <c r="AP37" i="1"/>
  <c r="AX37" i="1"/>
  <c r="AW37" i="1"/>
  <c r="AV37" i="1"/>
  <c r="AU37" i="1"/>
  <c r="AY37" i="1"/>
  <c r="AP36" i="1"/>
  <c r="AX36" i="1"/>
  <c r="AW36" i="1"/>
  <c r="AV36" i="1"/>
  <c r="AU36" i="1"/>
  <c r="AY36" i="1"/>
  <c r="AS43" i="1"/>
  <c r="AW43" i="1"/>
  <c r="AU43" i="1"/>
  <c r="AY43" i="1"/>
  <c r="AX43" i="1"/>
  <c r="AV43" i="1"/>
  <c r="AP35" i="1"/>
  <c r="AW35" i="1"/>
  <c r="AV35" i="1"/>
  <c r="AU35" i="1"/>
  <c r="AY35" i="1"/>
  <c r="AX35" i="1"/>
  <c r="AS42" i="1"/>
  <c r="AW42" i="1"/>
  <c r="AV42" i="1"/>
  <c r="AU42" i="1"/>
  <c r="AY42" i="1"/>
  <c r="AX42" i="1"/>
  <c r="AS41" i="1"/>
  <c r="AW41" i="1"/>
  <c r="AV41" i="1"/>
  <c r="AU41" i="1"/>
  <c r="AY41" i="1"/>
  <c r="AX41" i="1"/>
  <c r="AS40" i="1"/>
  <c r="AU40" i="1"/>
  <c r="AY40" i="1"/>
  <c r="AX40" i="1"/>
  <c r="AW40" i="1"/>
  <c r="AV40" i="1"/>
  <c r="AQ39" i="1"/>
  <c r="AY39" i="1"/>
  <c r="AX39" i="1"/>
  <c r="AW39" i="1"/>
  <c r="AV39" i="1"/>
  <c r="AU39" i="1"/>
  <c r="AT44" i="1"/>
  <c r="AX44" i="1"/>
  <c r="AU44" i="1"/>
  <c r="AW44" i="1"/>
  <c r="AV44" i="1"/>
  <c r="AY44" i="1"/>
  <c r="AP46" i="1"/>
  <c r="AV46" i="1"/>
  <c r="AX46" i="1"/>
  <c r="AU46" i="1"/>
  <c r="AW46" i="1"/>
  <c r="AY46" i="1"/>
  <c r="AT38" i="1"/>
  <c r="AX38" i="1"/>
  <c r="AY38" i="1"/>
  <c r="AW38" i="1"/>
  <c r="AV38" i="1"/>
  <c r="AU38" i="1"/>
  <c r="AH36" i="1"/>
  <c r="AH96" i="1" s="1"/>
  <c r="H33" i="9" s="1"/>
  <c r="AD36" i="1"/>
  <c r="AG85" i="1"/>
  <c r="G20" i="9" s="1"/>
  <c r="AP86" i="1"/>
  <c r="AQ84" i="1"/>
  <c r="S19" i="9" s="1"/>
  <c r="AR82" i="1"/>
  <c r="T17" i="9" s="1"/>
  <c r="AT86" i="1"/>
  <c r="V21" i="9" s="1"/>
  <c r="AE86" i="1"/>
  <c r="E21" i="9" s="1"/>
  <c r="AE85" i="1"/>
  <c r="E20" i="9" s="1"/>
  <c r="AF82" i="1"/>
  <c r="F17" i="9" s="1"/>
  <c r="AG87" i="1"/>
  <c r="G22" i="9" s="1"/>
  <c r="AH84" i="1"/>
  <c r="H19" i="9" s="1"/>
  <c r="AQ86" i="1"/>
  <c r="S21" i="9" s="1"/>
  <c r="AR84" i="1"/>
  <c r="T19" i="9" s="1"/>
  <c r="AS82" i="1"/>
  <c r="U17" i="9" s="1"/>
  <c r="AE84" i="1"/>
  <c r="E19" i="9" s="1"/>
  <c r="AF81" i="1"/>
  <c r="AG86" i="1"/>
  <c r="G21" i="9" s="1"/>
  <c r="AH83" i="1"/>
  <c r="H18" i="9" s="1"/>
  <c r="AT87" i="1"/>
  <c r="V22" i="9" s="1"/>
  <c r="AS81" i="1"/>
  <c r="U16" i="9" s="1"/>
  <c r="AD85" i="1"/>
  <c r="AR81" i="1"/>
  <c r="T16" i="9" s="1"/>
  <c r="AG83" i="1"/>
  <c r="G18" i="9" s="1"/>
  <c r="AP84" i="1"/>
  <c r="AQ82" i="1"/>
  <c r="S17" i="9" s="1"/>
  <c r="AS86" i="1"/>
  <c r="U21" i="9" s="1"/>
  <c r="AT84" i="1"/>
  <c r="V19" i="9" s="1"/>
  <c r="AR83" i="1"/>
  <c r="T18" i="9" s="1"/>
  <c r="AD87" i="1"/>
  <c r="AD86" i="1"/>
  <c r="AE83" i="1"/>
  <c r="E18" i="9" s="1"/>
  <c r="AG84" i="1"/>
  <c r="G19" i="9" s="1"/>
  <c r="AP85" i="1"/>
  <c r="AQ83" i="1"/>
  <c r="S18" i="9" s="1"/>
  <c r="AS87" i="1"/>
  <c r="U22" i="9" s="1"/>
  <c r="AT85" i="1"/>
  <c r="V20" i="9" s="1"/>
  <c r="AD84" i="1"/>
  <c r="AE81" i="1"/>
  <c r="E16" i="9" s="1"/>
  <c r="AF86" i="1"/>
  <c r="F21" i="9" s="1"/>
  <c r="AD83" i="1"/>
  <c r="AF85" i="1"/>
  <c r="F20" i="9" s="1"/>
  <c r="AG82" i="1"/>
  <c r="G17" i="9" s="1"/>
  <c r="AH87" i="1"/>
  <c r="H22" i="9" s="1"/>
  <c r="AQ81" i="1"/>
  <c r="S16" i="9" s="1"/>
  <c r="AR87" i="1"/>
  <c r="T22" i="9" s="1"/>
  <c r="AS85" i="1"/>
  <c r="U20" i="9" s="1"/>
  <c r="AT83" i="1"/>
  <c r="V18" i="9" s="1"/>
  <c r="AP87" i="1"/>
  <c r="AQ85" i="1"/>
  <c r="S20" i="9" s="1"/>
  <c r="AE82" i="1"/>
  <c r="AF87" i="1"/>
  <c r="F22" i="9" s="1"/>
  <c r="AH81" i="1"/>
  <c r="H16" i="9" s="1"/>
  <c r="AD82" i="1"/>
  <c r="AE87" i="1"/>
  <c r="E22" i="9" s="1"/>
  <c r="AF84" i="1"/>
  <c r="F19" i="9" s="1"/>
  <c r="AG81" i="1"/>
  <c r="G16" i="9" s="1"/>
  <c r="AH86" i="1"/>
  <c r="H21" i="9" s="1"/>
  <c r="AP82" i="1"/>
  <c r="AR86" i="1"/>
  <c r="T21" i="9" s="1"/>
  <c r="AS84" i="1"/>
  <c r="U19" i="9" s="1"/>
  <c r="AT82" i="1"/>
  <c r="V17" i="9" s="1"/>
  <c r="AP83" i="1"/>
  <c r="AH82" i="1"/>
  <c r="H17" i="9" s="1"/>
  <c r="AD81" i="1"/>
  <c r="AF83" i="1"/>
  <c r="F18" i="9" s="1"/>
  <c r="AH85" i="1"/>
  <c r="H20" i="9" s="1"/>
  <c r="AP81" i="1"/>
  <c r="AQ87" i="1"/>
  <c r="S22" i="9" s="1"/>
  <c r="AR85" i="1"/>
  <c r="T20" i="9" s="1"/>
  <c r="AS83" i="1"/>
  <c r="U18" i="9" s="1"/>
  <c r="AT81" i="1"/>
  <c r="V16" i="9" s="1"/>
  <c r="S12" i="9"/>
  <c r="V9" i="9"/>
  <c r="U9" i="9"/>
  <c r="AR74" i="1"/>
  <c r="T9" i="9" s="1"/>
  <c r="S9" i="9"/>
  <c r="AP42" i="1"/>
  <c r="AP41" i="1"/>
  <c r="AR42" i="1"/>
  <c r="AR41" i="1"/>
  <c r="AE39" i="1"/>
  <c r="AE99" i="1" s="1"/>
  <c r="E36" i="9" s="1"/>
  <c r="AF39" i="1"/>
  <c r="AF99" i="1" s="1"/>
  <c r="F36" i="9" s="1"/>
  <c r="AQ37" i="1"/>
  <c r="AT42" i="1"/>
  <c r="AG40" i="1"/>
  <c r="AG100" i="1" s="1"/>
  <c r="G37" i="9" s="1"/>
  <c r="AT41" i="1"/>
  <c r="AP38" i="1"/>
  <c r="AE35" i="1"/>
  <c r="AE95" i="1" s="1"/>
  <c r="E32" i="9" s="1"/>
  <c r="AH38" i="1"/>
  <c r="AH98" i="1" s="1"/>
  <c r="H35" i="9" s="1"/>
  <c r="AT39" i="1"/>
  <c r="AR39" i="1"/>
  <c r="AF40" i="1"/>
  <c r="AF100" i="1" s="1"/>
  <c r="F37" i="9" s="1"/>
  <c r="AP39" i="1"/>
  <c r="AR38" i="1"/>
  <c r="AT40" i="1"/>
  <c r="AE38" i="1"/>
  <c r="AE98" i="1" s="1"/>
  <c r="E35" i="9" s="1"/>
  <c r="AD42" i="1"/>
  <c r="AS39" i="1"/>
  <c r="AD37" i="1"/>
  <c r="AH42" i="1"/>
  <c r="AH102" i="1" s="1"/>
  <c r="H39" i="9" s="1"/>
  <c r="AQ38" i="1"/>
  <c r="AD38" i="1"/>
  <c r="AS38" i="1"/>
  <c r="AE43" i="1"/>
  <c r="AE103" i="1" s="1"/>
  <c r="E40" i="9" s="1"/>
  <c r="AH41" i="1"/>
  <c r="AH101" i="1" s="1"/>
  <c r="H38" i="9" s="1"/>
  <c r="AQ43" i="1"/>
  <c r="AE37" i="1"/>
  <c r="AE97" i="1" s="1"/>
  <c r="E34" i="9" s="1"/>
  <c r="AF38" i="1"/>
  <c r="AF98" i="1" s="1"/>
  <c r="F35" i="9" s="1"/>
  <c r="AG39" i="1"/>
  <c r="AG99" i="1" s="1"/>
  <c r="G36" i="9" s="1"/>
  <c r="AH40" i="1"/>
  <c r="AH100" i="1" s="1"/>
  <c r="H37" i="9" s="1"/>
  <c r="AR40" i="1"/>
  <c r="AD43" i="1"/>
  <c r="AD35" i="1"/>
  <c r="AE36" i="1"/>
  <c r="AE96" i="1" s="1"/>
  <c r="E33" i="9" s="1"/>
  <c r="AF37" i="1"/>
  <c r="AF97" i="1" s="1"/>
  <c r="F34" i="9" s="1"/>
  <c r="AH39" i="1"/>
  <c r="AH99" i="1" s="1"/>
  <c r="H36" i="9" s="1"/>
  <c r="AP40" i="1"/>
  <c r="AS37" i="1"/>
  <c r="AT37" i="1"/>
  <c r="AF36" i="1"/>
  <c r="AF96" i="1" s="1"/>
  <c r="F33" i="9" s="1"/>
  <c r="AG37" i="1"/>
  <c r="AG97" i="1" s="1"/>
  <c r="G34" i="9" s="1"/>
  <c r="AS36" i="1"/>
  <c r="AT36" i="1"/>
  <c r="AD41" i="1"/>
  <c r="AE42" i="1"/>
  <c r="AE102" i="1" s="1"/>
  <c r="E39" i="9" s="1"/>
  <c r="AF43" i="1"/>
  <c r="AF103" i="1" s="1"/>
  <c r="F40" i="9" s="1"/>
  <c r="AF35" i="1"/>
  <c r="AF95" i="1" s="1"/>
  <c r="F32" i="9" s="1"/>
  <c r="AG36" i="1"/>
  <c r="AG96" i="1" s="1"/>
  <c r="G33" i="9" s="1"/>
  <c r="AQ36" i="1"/>
  <c r="AR37" i="1"/>
  <c r="AS35" i="1"/>
  <c r="AS95" i="1" s="1"/>
  <c r="U32" i="9" s="1"/>
  <c r="AT35" i="1"/>
  <c r="AD40" i="1"/>
  <c r="AE41" i="1"/>
  <c r="AE101" i="1" s="1"/>
  <c r="E38" i="9" s="1"/>
  <c r="AF42" i="1"/>
  <c r="AF102" i="1" s="1"/>
  <c r="F39" i="9" s="1"/>
  <c r="AG43" i="1"/>
  <c r="AG103" i="1" s="1"/>
  <c r="G40" i="9" s="1"/>
  <c r="AG35" i="1"/>
  <c r="AG95" i="1" s="1"/>
  <c r="G32" i="9" s="1"/>
  <c r="AQ35" i="1"/>
  <c r="AR36" i="1"/>
  <c r="AT43" i="1"/>
  <c r="AF41" i="1"/>
  <c r="AF101" i="1" s="1"/>
  <c r="F38" i="9" s="1"/>
  <c r="AR43" i="1"/>
  <c r="AR35" i="1"/>
  <c r="AP43" i="1"/>
  <c r="AP44" i="1"/>
  <c r="AR46" i="1"/>
  <c r="AS44" i="1"/>
  <c r="AF46" i="1"/>
  <c r="AQ45" i="1"/>
  <c r="AQ44" i="1"/>
  <c r="AR45" i="1"/>
  <c r="AH46" i="1"/>
  <c r="AD46" i="1"/>
  <c r="AS46" i="1"/>
  <c r="AR44" i="1"/>
  <c r="AD44" i="1"/>
  <c r="AP45" i="1"/>
  <c r="AS45" i="1"/>
  <c r="AF45" i="1"/>
  <c r="AF44" i="1"/>
  <c r="AH44" i="1"/>
  <c r="AT46" i="1"/>
  <c r="AD45" i="1"/>
  <c r="AH45" i="1"/>
  <c r="AE46" i="1"/>
  <c r="AQ46" i="1"/>
  <c r="AE44" i="1"/>
  <c r="AE45" i="1"/>
  <c r="AQ42" i="1"/>
  <c r="AQ41" i="1"/>
  <c r="AQ40" i="1"/>
  <c r="AS97" i="1" l="1"/>
  <c r="U34" i="9"/>
  <c r="AQ96" i="1"/>
  <c r="S33" i="9"/>
  <c r="AY106" i="1"/>
  <c r="AA43" i="9" s="1"/>
  <c r="AW104" i="1"/>
  <c r="Y41" i="9" s="1"/>
  <c r="AY99" i="1"/>
  <c r="AA36" i="9" s="1"/>
  <c r="AX101" i="1"/>
  <c r="Z38" i="9" s="1"/>
  <c r="AU102" i="1"/>
  <c r="W39" i="9" s="1"/>
  <c r="AW95" i="1"/>
  <c r="Y32" i="9" s="1"/>
  <c r="AY96" i="1"/>
  <c r="AA33" i="9" s="1"/>
  <c r="AV97" i="1"/>
  <c r="X34" i="9"/>
  <c r="AV105" i="1"/>
  <c r="X42" i="9"/>
  <c r="AQ106" i="1"/>
  <c r="S43" i="9" s="1"/>
  <c r="AT95" i="1"/>
  <c r="V32" i="9" s="1"/>
  <c r="AR101" i="1"/>
  <c r="T38" i="9" s="1"/>
  <c r="AW106" i="1"/>
  <c r="Y43" i="9" s="1"/>
  <c r="AU104" i="1"/>
  <c r="W41" i="9"/>
  <c r="AQ99" i="1"/>
  <c r="S36" i="9" s="1"/>
  <c r="AY101" i="1"/>
  <c r="AA38" i="9" s="1"/>
  <c r="AV102" i="1"/>
  <c r="X39" i="9" s="1"/>
  <c r="AU96" i="1"/>
  <c r="W33" i="9" s="1"/>
  <c r="AW97" i="1"/>
  <c r="Y34" i="9" s="1"/>
  <c r="AT105" i="1"/>
  <c r="V42" i="9" s="1"/>
  <c r="AQ104" i="1"/>
  <c r="S41" i="9" s="1"/>
  <c r="AR98" i="1"/>
  <c r="T35" i="9" s="1"/>
  <c r="AT102" i="1"/>
  <c r="V39" i="9" s="1"/>
  <c r="AR104" i="1"/>
  <c r="T41" i="9" s="1"/>
  <c r="AQ101" i="1"/>
  <c r="S38" i="9" s="1"/>
  <c r="AQ102" i="1"/>
  <c r="S39" i="9" s="1"/>
  <c r="AR105" i="1"/>
  <c r="T42" i="9" s="1"/>
  <c r="AR95" i="1"/>
  <c r="T32" i="9" s="1"/>
  <c r="AT97" i="1"/>
  <c r="V34" i="9" s="1"/>
  <c r="AR100" i="1"/>
  <c r="T37" i="9" s="1"/>
  <c r="AS98" i="1"/>
  <c r="U35" i="9" s="1"/>
  <c r="AT100" i="1"/>
  <c r="V37" i="9" s="1"/>
  <c r="AR102" i="1"/>
  <c r="T39" i="9" s="1"/>
  <c r="AU98" i="1"/>
  <c r="W35" i="9" s="1"/>
  <c r="AU106" i="1"/>
  <c r="W43" i="9" s="1"/>
  <c r="AX104" i="1"/>
  <c r="Z41" i="9" s="1"/>
  <c r="AV100" i="1"/>
  <c r="X37" i="9" s="1"/>
  <c r="AU101" i="1"/>
  <c r="W38" i="9" s="1"/>
  <c r="AW102" i="1"/>
  <c r="Y39" i="9" s="1"/>
  <c r="AV103" i="1"/>
  <c r="X40" i="9" s="1"/>
  <c r="AV96" i="1"/>
  <c r="X33" i="9"/>
  <c r="AX97" i="1"/>
  <c r="Z34" i="9" s="1"/>
  <c r="AR103" i="1"/>
  <c r="T40" i="9"/>
  <c r="AV98" i="1"/>
  <c r="X35" i="9" s="1"/>
  <c r="AX106" i="1"/>
  <c r="Z43" i="9" s="1"/>
  <c r="AT104" i="1"/>
  <c r="V41" i="9" s="1"/>
  <c r="AW100" i="1"/>
  <c r="Y37" i="9" s="1"/>
  <c r="AV101" i="1"/>
  <c r="X38" i="9"/>
  <c r="AS102" i="1"/>
  <c r="U39" i="9" s="1"/>
  <c r="AX103" i="1"/>
  <c r="Z40" i="9" s="1"/>
  <c r="AW96" i="1"/>
  <c r="Y33" i="9"/>
  <c r="AQ98" i="1"/>
  <c r="S35" i="9" s="1"/>
  <c r="AW98" i="1"/>
  <c r="Y35" i="9" s="1"/>
  <c r="AV106" i="1"/>
  <c r="X43" i="9"/>
  <c r="AU99" i="1"/>
  <c r="W36" i="9" s="1"/>
  <c r="AX100" i="1"/>
  <c r="Z37" i="9" s="1"/>
  <c r="AW101" i="1"/>
  <c r="Y38" i="9" s="1"/>
  <c r="AX95" i="1"/>
  <c r="Z32" i="9" s="1"/>
  <c r="AY103" i="1"/>
  <c r="AA40" i="9" s="1"/>
  <c r="AX96" i="1"/>
  <c r="Z33" i="9" s="1"/>
  <c r="AY105" i="1"/>
  <c r="AA42" i="9" s="1"/>
  <c r="AQ105" i="1"/>
  <c r="S42" i="9" s="1"/>
  <c r="AV99" i="1"/>
  <c r="X36" i="9" s="1"/>
  <c r="AY100" i="1"/>
  <c r="AA37" i="9" s="1"/>
  <c r="AS101" i="1"/>
  <c r="U38" i="9" s="1"/>
  <c r="AY95" i="1"/>
  <c r="AA32" i="9" s="1"/>
  <c r="AU103" i="1"/>
  <c r="W40" i="9" s="1"/>
  <c r="AW105" i="1"/>
  <c r="Y42" i="9" s="1"/>
  <c r="AS105" i="1"/>
  <c r="U42" i="9"/>
  <c r="AT101" i="1"/>
  <c r="V38" i="9" s="1"/>
  <c r="AT103" i="1"/>
  <c r="V40" i="9" s="1"/>
  <c r="AQ100" i="1"/>
  <c r="S37" i="9" s="1"/>
  <c r="AS104" i="1"/>
  <c r="U41" i="9" s="1"/>
  <c r="AR96" i="1"/>
  <c r="T33" i="9" s="1"/>
  <c r="AT96" i="1"/>
  <c r="V33" i="9" s="1"/>
  <c r="AR99" i="1"/>
  <c r="T36" i="9" s="1"/>
  <c r="AQ97" i="1"/>
  <c r="S34" i="9" s="1"/>
  <c r="AX98" i="1"/>
  <c r="Z35" i="9" s="1"/>
  <c r="AY104" i="1"/>
  <c r="AA41" i="9" s="1"/>
  <c r="AW99" i="1"/>
  <c r="Y36" i="9" s="1"/>
  <c r="AU100" i="1"/>
  <c r="W37" i="9" s="1"/>
  <c r="AX102" i="1"/>
  <c r="Z39" i="9" s="1"/>
  <c r="AU95" i="1"/>
  <c r="W32" i="9" s="1"/>
  <c r="AW103" i="1"/>
  <c r="Y40" i="9" s="1"/>
  <c r="AY97" i="1"/>
  <c r="AA34" i="9" s="1"/>
  <c r="AU105" i="1"/>
  <c r="W42" i="9" s="1"/>
  <c r="AY98" i="1"/>
  <c r="AA35" i="9" s="1"/>
  <c r="AS106" i="1"/>
  <c r="U43" i="9"/>
  <c r="AR106" i="1"/>
  <c r="T43" i="9" s="1"/>
  <c r="AQ95" i="1"/>
  <c r="S32" i="9" s="1"/>
  <c r="AR97" i="1"/>
  <c r="T34" i="9" s="1"/>
  <c r="AS96" i="1"/>
  <c r="U33" i="9" s="1"/>
  <c r="AQ103" i="1"/>
  <c r="S40" i="9" s="1"/>
  <c r="AS99" i="1"/>
  <c r="U36" i="9" s="1"/>
  <c r="AT99" i="1"/>
  <c r="V36" i="9"/>
  <c r="AT98" i="1"/>
  <c r="V35" i="9" s="1"/>
  <c r="AV104" i="1"/>
  <c r="X41" i="9" s="1"/>
  <c r="AX99" i="1"/>
  <c r="Z36" i="9" s="1"/>
  <c r="AS100" i="1"/>
  <c r="U37" i="9" s="1"/>
  <c r="AY102" i="1"/>
  <c r="AA39" i="9" s="1"/>
  <c r="AV95" i="1"/>
  <c r="X32" i="9" s="1"/>
  <c r="AS103" i="1"/>
  <c r="U40" i="9" s="1"/>
  <c r="AU97" i="1"/>
  <c r="W34" i="9"/>
  <c r="AX105" i="1"/>
  <c r="Z42" i="9" s="1"/>
  <c r="R14" i="9"/>
  <c r="AB14" i="9" s="1"/>
  <c r="R10" i="9"/>
  <c r="AB10" i="9" s="1"/>
  <c r="AB12" i="9"/>
  <c r="AZ76" i="1"/>
  <c r="D15" i="9"/>
  <c r="N15" i="9" s="1"/>
  <c r="AN80" i="1"/>
  <c r="AO80" i="1" s="1"/>
  <c r="R15" i="9"/>
  <c r="AB15" i="9" s="1"/>
  <c r="D9" i="9"/>
  <c r="N9" i="9" s="1"/>
  <c r="AN74" i="1"/>
  <c r="D14" i="9"/>
  <c r="N14" i="9" s="1"/>
  <c r="AN79" i="1"/>
  <c r="AO79" i="1" s="1"/>
  <c r="D36" i="9"/>
  <c r="D10" i="9"/>
  <c r="N10" i="9" s="1"/>
  <c r="AN75" i="1"/>
  <c r="AO75" i="1" s="1"/>
  <c r="D19" i="9"/>
  <c r="N19" i="9" s="1"/>
  <c r="AN84" i="1"/>
  <c r="D20" i="9"/>
  <c r="N20" i="9" s="1"/>
  <c r="AN85" i="1"/>
  <c r="D11" i="9"/>
  <c r="N11" i="9" s="1"/>
  <c r="AN76" i="1"/>
  <c r="D12" i="9"/>
  <c r="N12" i="9" s="1"/>
  <c r="AN77" i="1"/>
  <c r="AO77" i="1" s="1"/>
  <c r="D21" i="9"/>
  <c r="N21" i="9" s="1"/>
  <c r="AN86" i="1"/>
  <c r="AN44" i="1"/>
  <c r="D16" i="9"/>
  <c r="AN81" i="1"/>
  <c r="D18" i="9"/>
  <c r="AN83" i="1"/>
  <c r="D17" i="9"/>
  <c r="AN82" i="1"/>
  <c r="D22" i="9"/>
  <c r="N22" i="9" s="1"/>
  <c r="AN87" i="1"/>
  <c r="D13" i="9"/>
  <c r="N13" i="9" s="1"/>
  <c r="AN78" i="1"/>
  <c r="AO78" i="1" s="1"/>
  <c r="AP106" i="1"/>
  <c r="R43" i="9" s="1"/>
  <c r="AZ46" i="1"/>
  <c r="AP105" i="1"/>
  <c r="AZ45" i="1"/>
  <c r="AP104" i="1"/>
  <c r="R41" i="9" s="1"/>
  <c r="AZ44" i="1"/>
  <c r="AP103" i="1"/>
  <c r="R40" i="9" s="1"/>
  <c r="AZ43" i="1"/>
  <c r="AP102" i="1"/>
  <c r="AZ42" i="1"/>
  <c r="AP101" i="1"/>
  <c r="AZ41" i="1"/>
  <c r="AP100" i="1"/>
  <c r="AZ40" i="1"/>
  <c r="AP99" i="1"/>
  <c r="AZ39" i="1"/>
  <c r="AP98" i="1"/>
  <c r="AZ38" i="1"/>
  <c r="AP97" i="1"/>
  <c r="AZ37" i="1"/>
  <c r="AP96" i="1"/>
  <c r="AZ36" i="1"/>
  <c r="AP95" i="1"/>
  <c r="AZ35" i="1"/>
  <c r="R13" i="9"/>
  <c r="AB13" i="9" s="1"/>
  <c r="AZ84" i="1"/>
  <c r="R22" i="9"/>
  <c r="AB22" i="9" s="1"/>
  <c r="AZ87" i="1"/>
  <c r="R21" i="9"/>
  <c r="AB21" i="9" s="1"/>
  <c r="AZ86" i="1"/>
  <c r="AZ85" i="1"/>
  <c r="R18" i="9"/>
  <c r="AB18" i="9" s="1"/>
  <c r="AZ83" i="1"/>
  <c r="R17" i="9"/>
  <c r="AB17" i="9" s="1"/>
  <c r="AZ82" i="1"/>
  <c r="R16" i="9"/>
  <c r="AB16" i="9" s="1"/>
  <c r="AZ81" i="1"/>
  <c r="AZ74" i="1"/>
  <c r="AI99" i="1"/>
  <c r="I36" i="9" s="1"/>
  <c r="AJ95" i="1"/>
  <c r="J32" i="9" s="1"/>
  <c r="AL103" i="1"/>
  <c r="L40" i="9" s="1"/>
  <c r="AK96" i="1"/>
  <c r="K33" i="9" s="1"/>
  <c r="AM97" i="1"/>
  <c r="M34" i="9" s="1"/>
  <c r="AM100" i="1"/>
  <c r="M37" i="9" s="1"/>
  <c r="AM102" i="1"/>
  <c r="M39" i="9" s="1"/>
  <c r="AI95" i="1"/>
  <c r="I32" i="9" s="1"/>
  <c r="AM103" i="1"/>
  <c r="M40" i="9" s="1"/>
  <c r="AJ96" i="1"/>
  <c r="J33" i="9" s="1"/>
  <c r="AJ98" i="1"/>
  <c r="J35" i="9" s="1"/>
  <c r="AI101" i="1"/>
  <c r="I38" i="9" s="1"/>
  <c r="AD96" i="1"/>
  <c r="AN36" i="1"/>
  <c r="AJ97" i="1"/>
  <c r="J34" i="9" s="1"/>
  <c r="AM99" i="1"/>
  <c r="M36" i="9" s="1"/>
  <c r="AM101" i="1"/>
  <c r="M38" i="9" s="1"/>
  <c r="AJ100" i="1"/>
  <c r="J37" i="9" s="1"/>
  <c r="AJ102" i="1"/>
  <c r="J39" i="9" s="1"/>
  <c r="AK98" i="1"/>
  <c r="K35" i="9" s="1"/>
  <c r="AK100" i="1"/>
  <c r="K37" i="9" s="1"/>
  <c r="AK102" i="1"/>
  <c r="K39" i="9" s="1"/>
  <c r="AM95" i="1"/>
  <c r="M32" i="9" s="1"/>
  <c r="AI98" i="1"/>
  <c r="I35" i="9" s="1"/>
  <c r="AN45" i="1"/>
  <c r="AN39" i="1"/>
  <c r="AI97" i="1"/>
  <c r="I34" i="9" s="1"/>
  <c r="AL99" i="1"/>
  <c r="L36" i="9" s="1"/>
  <c r="AJ101" i="1"/>
  <c r="J38" i="9" s="1"/>
  <c r="AI100" i="1"/>
  <c r="I37" i="9" s="1"/>
  <c r="AI102" i="1"/>
  <c r="I39" i="9" s="1"/>
  <c r="AK103" i="1"/>
  <c r="K40" i="9" s="1"/>
  <c r="AI96" i="1"/>
  <c r="I33" i="9" s="1"/>
  <c r="AM98" i="1"/>
  <c r="M35" i="9" s="1"/>
  <c r="AL97" i="1"/>
  <c r="L34" i="9" s="1"/>
  <c r="AL100" i="1"/>
  <c r="L37" i="9" s="1"/>
  <c r="AL102" i="1"/>
  <c r="L39" i="9" s="1"/>
  <c r="AL95" i="1"/>
  <c r="L32" i="9" s="1"/>
  <c r="AK99" i="1"/>
  <c r="K36" i="9" s="1"/>
  <c r="AL101" i="1"/>
  <c r="L38" i="9" s="1"/>
  <c r="AJ103" i="1"/>
  <c r="J40" i="9" s="1"/>
  <c r="AM96" i="1"/>
  <c r="M33" i="9" s="1"/>
  <c r="AL98" i="1"/>
  <c r="L35" i="9" s="1"/>
  <c r="AK97" i="1"/>
  <c r="K34" i="9" s="1"/>
  <c r="AB9" i="9"/>
  <c r="AJ99" i="1"/>
  <c r="J36" i="9" s="1"/>
  <c r="AK101" i="1"/>
  <c r="K38" i="9" s="1"/>
  <c r="AK95" i="1"/>
  <c r="K32" i="9" s="1"/>
  <c r="AI103" i="1"/>
  <c r="I40" i="9" s="1"/>
  <c r="AL96" i="1"/>
  <c r="L33" i="9" s="1"/>
  <c r="AO76" i="1"/>
  <c r="AK106" i="1"/>
  <c r="K43" i="9" s="1"/>
  <c r="AJ104" i="1"/>
  <c r="J41" i="9" s="1"/>
  <c r="AN46" i="1"/>
  <c r="AD95" i="1"/>
  <c r="AN35" i="1"/>
  <c r="AD102" i="1"/>
  <c r="AN42" i="1"/>
  <c r="AK104" i="1"/>
  <c r="K41" i="9" s="1"/>
  <c r="AJ105" i="1"/>
  <c r="J42" i="9" s="1"/>
  <c r="AD103" i="1"/>
  <c r="AN43" i="1"/>
  <c r="AI104" i="1"/>
  <c r="I41" i="9" s="1"/>
  <c r="AI105" i="1"/>
  <c r="I42" i="9" s="1"/>
  <c r="AD97" i="1"/>
  <c r="AN37" i="1"/>
  <c r="AI106" i="1"/>
  <c r="I43" i="9" s="1"/>
  <c r="AM104" i="1"/>
  <c r="M41" i="9" s="1"/>
  <c r="AM105" i="1"/>
  <c r="M42" i="9" s="1"/>
  <c r="AL105" i="1"/>
  <c r="L42" i="9" s="1"/>
  <c r="AD98" i="1"/>
  <c r="AN38" i="1"/>
  <c r="AL104" i="1"/>
  <c r="L41" i="9" s="1"/>
  <c r="AM106" i="1"/>
  <c r="M43" i="9" s="1"/>
  <c r="AD100" i="1"/>
  <c r="AN40" i="1"/>
  <c r="AL106" i="1"/>
  <c r="L43" i="9" s="1"/>
  <c r="AD101" i="1"/>
  <c r="AN41" i="1"/>
  <c r="AK105" i="1"/>
  <c r="K42" i="9" s="1"/>
  <c r="AJ106" i="1"/>
  <c r="J43" i="9" s="1"/>
  <c r="N18" i="9"/>
  <c r="F16" i="9"/>
  <c r="R19" i="9"/>
  <c r="AB19" i="9" s="1"/>
  <c r="E17" i="9"/>
  <c r="R20" i="9"/>
  <c r="AB20" i="9" s="1"/>
  <c r="AE105" i="1"/>
  <c r="E42" i="9" s="1"/>
  <c r="AF104" i="1"/>
  <c r="F41" i="9" s="1"/>
  <c r="AF105" i="1"/>
  <c r="AE104" i="1"/>
  <c r="E41" i="9" s="1"/>
  <c r="AF106" i="1"/>
  <c r="F43" i="9" s="1"/>
  <c r="AE106" i="1"/>
  <c r="E43" i="9" s="1"/>
  <c r="AH105" i="1"/>
  <c r="H42" i="9" s="1"/>
  <c r="AD106" i="1"/>
  <c r="AD105" i="1"/>
  <c r="AH106" i="1"/>
  <c r="H43" i="9" s="1"/>
  <c r="AD104" i="1"/>
  <c r="AT106" i="1"/>
  <c r="V43" i="9" s="1"/>
  <c r="AH104" i="1"/>
  <c r="H41" i="9" s="1"/>
  <c r="AO20" i="1"/>
  <c r="AO15" i="1"/>
  <c r="AO14" i="1"/>
  <c r="AO19" i="1"/>
  <c r="AO18" i="1"/>
  <c r="AO22" i="1"/>
  <c r="AO24" i="1"/>
  <c r="AO26" i="1"/>
  <c r="AO23" i="1"/>
  <c r="AO17" i="1"/>
  <c r="AO21" i="1"/>
  <c r="AO25" i="1"/>
  <c r="AO16" i="1"/>
  <c r="AO27" i="1"/>
  <c r="AZ95" i="1" l="1"/>
  <c r="AZ99" i="1"/>
  <c r="AZ96" i="1"/>
  <c r="AZ101" i="1"/>
  <c r="AZ97" i="1"/>
  <c r="AZ105" i="1"/>
  <c r="AZ98" i="1"/>
  <c r="AZ102" i="1"/>
  <c r="AZ100" i="1"/>
  <c r="R34" i="9"/>
  <c r="AB34" i="9" s="1"/>
  <c r="R35" i="9"/>
  <c r="R38" i="9"/>
  <c r="AB38" i="9" s="1"/>
  <c r="R33" i="9"/>
  <c r="R39" i="9"/>
  <c r="AB39" i="9" s="1"/>
  <c r="R42" i="9"/>
  <c r="AB42" i="9" s="1"/>
  <c r="R36" i="9"/>
  <c r="AB36" i="9" s="1"/>
  <c r="AZ103" i="1"/>
  <c r="AZ104" i="1"/>
  <c r="R37" i="9"/>
  <c r="AB37" i="9" s="1"/>
  <c r="R32" i="9"/>
  <c r="AB32" i="9" s="1"/>
  <c r="AZ106" i="1"/>
  <c r="AO74" i="1"/>
  <c r="N17" i="9"/>
  <c r="N16" i="9"/>
  <c r="D42" i="9"/>
  <c r="AN105" i="1"/>
  <c r="D38" i="9"/>
  <c r="N38" i="9" s="1"/>
  <c r="AN101" i="1"/>
  <c r="D40" i="9"/>
  <c r="N40" i="9" s="1"/>
  <c r="AN103" i="1"/>
  <c r="AO81" i="1"/>
  <c r="D34" i="9"/>
  <c r="N34" i="9" s="1"/>
  <c r="AN97" i="1"/>
  <c r="D39" i="9"/>
  <c r="N39" i="9" s="1"/>
  <c r="AN102" i="1"/>
  <c r="D37" i="9"/>
  <c r="N37" i="9" s="1"/>
  <c r="AN100" i="1"/>
  <c r="D43" i="9"/>
  <c r="N43" i="9" s="1"/>
  <c r="AN106" i="1"/>
  <c r="D33" i="9"/>
  <c r="N33" i="9" s="1"/>
  <c r="AN96" i="1"/>
  <c r="D41" i="9"/>
  <c r="N41" i="9" s="1"/>
  <c r="AN104" i="1"/>
  <c r="D35" i="9"/>
  <c r="N35" i="9" s="1"/>
  <c r="AN98" i="1"/>
  <c r="D32" i="9"/>
  <c r="N32" i="9" s="1"/>
  <c r="AN95" i="1"/>
  <c r="AO95" i="1" s="1"/>
  <c r="AN99" i="1"/>
  <c r="AO99" i="1" s="1"/>
  <c r="N36" i="9"/>
  <c r="AO82" i="1"/>
  <c r="AO87" i="1"/>
  <c r="AO84" i="1"/>
  <c r="AO86" i="1"/>
  <c r="AO83" i="1"/>
  <c r="AO85" i="1"/>
  <c r="AB33" i="9"/>
  <c r="F42" i="9"/>
  <c r="AB40" i="9"/>
  <c r="AB41" i="9"/>
  <c r="AB35" i="9"/>
  <c r="AO46" i="1"/>
  <c r="AO45" i="1"/>
  <c r="AO41" i="1"/>
  <c r="AO36" i="1"/>
  <c r="AO38" i="1"/>
  <c r="AO37" i="1"/>
  <c r="AO35" i="1"/>
  <c r="AO40" i="1"/>
  <c r="AO42" i="1"/>
  <c r="AO39" i="1"/>
  <c r="AO44" i="1"/>
  <c r="AO43" i="1"/>
  <c r="AH168" i="1"/>
  <c r="AG168" i="1"/>
  <c r="AF168" i="1"/>
  <c r="AE168" i="1"/>
  <c r="AD168" i="1"/>
  <c r="AE159" i="1"/>
  <c r="AD159" i="1"/>
  <c r="AO102" i="1" l="1"/>
  <c r="AO98" i="1"/>
  <c r="AO101" i="1"/>
  <c r="AO96" i="1"/>
  <c r="AO97" i="1"/>
  <c r="AO103" i="1"/>
  <c r="AO100" i="1"/>
  <c r="AO104" i="1"/>
  <c r="N42" i="9"/>
  <c r="AB43" i="9"/>
  <c r="AP206" i="1"/>
  <c r="AP204" i="1"/>
  <c r="AP202" i="1"/>
  <c r="AP200" i="1"/>
  <c r="AP198" i="1"/>
  <c r="AT195" i="1"/>
  <c r="AS195" i="1"/>
  <c r="AR195" i="1"/>
  <c r="AQ195" i="1"/>
  <c r="AP195" i="1"/>
  <c r="AE171" i="1"/>
  <c r="AF171" i="1"/>
  <c r="AG171" i="1"/>
  <c r="AE172" i="1"/>
  <c r="AF172" i="1"/>
  <c r="AG172" i="1"/>
  <c r="AH172" i="1"/>
  <c r="AE173" i="1"/>
  <c r="AF173" i="1"/>
  <c r="AG173" i="1"/>
  <c r="AH173" i="1"/>
  <c r="AE174" i="1"/>
  <c r="AF174" i="1"/>
  <c r="AG174" i="1"/>
  <c r="AH174" i="1"/>
  <c r="AE175" i="1"/>
  <c r="AF175" i="1"/>
  <c r="AG175" i="1"/>
  <c r="AH175" i="1"/>
  <c r="AD172" i="1"/>
  <c r="AD173" i="1"/>
  <c r="AD174" i="1"/>
  <c r="AD175" i="1"/>
  <c r="AD171" i="1"/>
  <c r="AS159" i="1"/>
  <c r="AT159" i="1"/>
  <c r="AZ175" i="1"/>
  <c r="AZ174" i="1"/>
  <c r="AZ173" i="1"/>
  <c r="AZ172" i="1"/>
  <c r="AZ171" i="1"/>
  <c r="AT176" i="1"/>
  <c r="AS176" i="1"/>
  <c r="AP168" i="1"/>
  <c r="AQ168" i="1"/>
  <c r="AT168" i="1"/>
  <c r="AS168" i="1"/>
  <c r="BT64" i="1"/>
  <c r="BW65" i="1" a="1"/>
  <c r="BW65" i="1" s="1"/>
  <c r="BV64" i="1"/>
  <c r="AP29" i="1"/>
  <c r="AQ28" i="1"/>
  <c r="AR13" i="1"/>
  <c r="AS12" i="1"/>
  <c r="AT11" i="1"/>
  <c r="AT31" i="1" s="1"/>
  <c r="AS28" i="1"/>
  <c r="AQ12" i="1"/>
  <c r="AP11" i="1"/>
  <c r="BW66" i="1"/>
  <c r="BW64" i="1"/>
  <c r="BW63" i="1" a="1"/>
  <c r="BW63" i="1" s="1"/>
  <c r="BW62" i="1"/>
  <c r="BW61" i="1" a="1"/>
  <c r="BW61" i="1" s="1"/>
  <c r="BW60" i="1"/>
  <c r="BW59" i="1" a="1"/>
  <c r="BW59" i="1" s="1"/>
  <c r="BW58" i="1"/>
  <c r="AS66" i="1"/>
  <c r="AS134" i="1" s="1"/>
  <c r="U65" i="9" s="1"/>
  <c r="AT66" i="1"/>
  <c r="AT134" i="1" s="1"/>
  <c r="V65" i="9" s="1"/>
  <c r="AS65" i="1" a="1"/>
  <c r="AS65" i="1" s="1"/>
  <c r="AS133" i="1" s="1"/>
  <c r="U64" i="9" s="1"/>
  <c r="AT65" i="1" a="1"/>
  <c r="AT65" i="1" s="1"/>
  <c r="AT133" i="1" s="1"/>
  <c r="V64" i="9" s="1"/>
  <c r="AS64" i="1"/>
  <c r="AS130" i="1" s="1"/>
  <c r="U63" i="9" s="1"/>
  <c r="AT64" i="1"/>
  <c r="AT130" i="1" s="1"/>
  <c r="V63" i="9" s="1"/>
  <c r="AS63" i="1" a="1"/>
  <c r="AS63" i="1" s="1"/>
  <c r="AS129" i="1" s="1"/>
  <c r="U62" i="9" s="1"/>
  <c r="AT63" i="1" a="1"/>
  <c r="AT63" i="1" s="1"/>
  <c r="AT129" i="1" s="1"/>
  <c r="V62" i="9" s="1"/>
  <c r="AS62" i="1"/>
  <c r="AS126" i="1" s="1"/>
  <c r="U61" i="9" s="1"/>
  <c r="AT62" i="1"/>
  <c r="AT126" i="1" s="1"/>
  <c r="V61" i="9" s="1"/>
  <c r="AS61" i="1" a="1"/>
  <c r="AS61" i="1" s="1"/>
  <c r="AS125" i="1" s="1"/>
  <c r="U60" i="9" s="1"/>
  <c r="AT61" i="1" a="1"/>
  <c r="AT61" i="1" s="1"/>
  <c r="AT125" i="1" s="1"/>
  <c r="V60" i="9" s="1"/>
  <c r="AS60" i="1"/>
  <c r="AS122" i="1" s="1"/>
  <c r="U59" i="9" s="1"/>
  <c r="AT60" i="1"/>
  <c r="AT122" i="1" s="1"/>
  <c r="V59" i="9" s="1"/>
  <c r="AS59" i="1" a="1"/>
  <c r="AS59" i="1" s="1"/>
  <c r="AS121" i="1" s="1"/>
  <c r="U58" i="9" s="1"/>
  <c r="AT59" i="1" a="1"/>
  <c r="AT59" i="1" s="1"/>
  <c r="AT121" i="1" s="1"/>
  <c r="AS58" i="1"/>
  <c r="AT58" i="1"/>
  <c r="AS57" i="1" a="1"/>
  <c r="AS57" i="1" s="1"/>
  <c r="AT57" i="1" a="1"/>
  <c r="AT57" i="1" s="1"/>
  <c r="AR29" i="1"/>
  <c r="AP13" i="1"/>
  <c r="AR12" i="1"/>
  <c r="AS11" i="1"/>
  <c r="AS13" i="1"/>
  <c r="AS29" i="1"/>
  <c r="AS30" i="1"/>
  <c r="AR11" i="1"/>
  <c r="AQ11" i="1"/>
  <c r="AE24" i="6"/>
  <c r="AE23" i="6"/>
  <c r="AE22" i="6"/>
  <c r="Z24" i="6"/>
  <c r="Z23" i="6"/>
  <c r="Z22" i="6"/>
  <c r="AE19" i="6"/>
  <c r="Z19" i="6"/>
  <c r="Z18" i="6"/>
  <c r="AQ198" i="1" l="1"/>
  <c r="AR198" i="1" s="1"/>
  <c r="V58" i="9"/>
  <c r="AN171" i="1"/>
  <c r="AN175" i="1"/>
  <c r="AN174" i="1"/>
  <c r="AN173" i="1"/>
  <c r="AN172" i="1"/>
  <c r="AQ204" i="1"/>
  <c r="AR204" i="1" s="1"/>
  <c r="AZ11" i="1"/>
  <c r="AO11" i="1" s="1"/>
  <c r="AQ206" i="1"/>
  <c r="AS67" i="1"/>
  <c r="AT67" i="1"/>
  <c r="AT117" i="1"/>
  <c r="V56" i="9" s="1"/>
  <c r="AS118" i="1"/>
  <c r="U57" i="9" s="1"/>
  <c r="AS117" i="1"/>
  <c r="U56" i="9" s="1"/>
  <c r="AT118" i="1"/>
  <c r="V57" i="9" s="1"/>
  <c r="AS90" i="1"/>
  <c r="U25" i="9" s="1"/>
  <c r="AS89" i="1"/>
  <c r="U24" i="9" s="1"/>
  <c r="AS88" i="1"/>
  <c r="U23" i="9" s="1"/>
  <c r="AT90" i="1"/>
  <c r="V25" i="9" s="1"/>
  <c r="AT89" i="1"/>
  <c r="V24" i="9" s="1"/>
  <c r="AT88" i="1"/>
  <c r="V23" i="9" s="1"/>
  <c r="AT73" i="1"/>
  <c r="V8" i="9" s="1"/>
  <c r="AT72" i="1"/>
  <c r="V7" i="9" s="1"/>
  <c r="AT71" i="1"/>
  <c r="AS72" i="1"/>
  <c r="U7" i="9" s="1"/>
  <c r="AS73" i="1"/>
  <c r="U8" i="9" s="1"/>
  <c r="AQ71" i="1"/>
  <c r="S6" i="9" s="1"/>
  <c r="AN168" i="1"/>
  <c r="AH176" i="1"/>
  <c r="AG176" i="1"/>
  <c r="AF176" i="1"/>
  <c r="AD176" i="1"/>
  <c r="AE176" i="1"/>
  <c r="AS31" i="1"/>
  <c r="AS71" i="1"/>
  <c r="U6" i="9" s="1"/>
  <c r="AQ202" i="1"/>
  <c r="AR202" i="1" s="1"/>
  <c r="AQ200" i="1"/>
  <c r="AZ195" i="1"/>
  <c r="AE21" i="6"/>
  <c r="Z21" i="6"/>
  <c r="AE17" i="6"/>
  <c r="Z17" i="6"/>
  <c r="AD206" i="1"/>
  <c r="AD204" i="1"/>
  <c r="AD202" i="1"/>
  <c r="AD200" i="1"/>
  <c r="AD198" i="1"/>
  <c r="AS204" i="1" l="1"/>
  <c r="AR206" i="1"/>
  <c r="U66" i="9"/>
  <c r="V66" i="9"/>
  <c r="U26" i="9"/>
  <c r="AT91" i="1"/>
  <c r="V6" i="9"/>
  <c r="V26" i="9" s="1"/>
  <c r="AS91" i="1"/>
  <c r="AS202" i="1"/>
  <c r="AR200" i="1"/>
  <c r="AS200" i="1" s="1"/>
  <c r="AT200" i="1" s="1"/>
  <c r="AE198" i="1"/>
  <c r="AE204" i="1"/>
  <c r="AE202" i="1"/>
  <c r="AF202" i="1" s="1"/>
  <c r="AS206" i="1" l="1"/>
  <c r="AT206" i="1" s="1"/>
  <c r="AU206" i="1" s="1"/>
  <c r="AU200" i="1"/>
  <c r="AV200" i="1" s="1"/>
  <c r="AT204" i="1"/>
  <c r="AS198" i="1"/>
  <c r="AT202" i="1"/>
  <c r="AU202" i="1" s="1"/>
  <c r="AF204" i="1"/>
  <c r="AG204" i="1" s="1"/>
  <c r="AH204" i="1" s="1"/>
  <c r="AF198" i="1"/>
  <c r="AG202" i="1"/>
  <c r="AT198" i="1" l="1"/>
  <c r="AU198" i="1" s="1"/>
  <c r="AU204" i="1"/>
  <c r="AV202" i="1"/>
  <c r="AV206" i="1"/>
  <c r="AW206" i="1" s="1"/>
  <c r="AI204" i="1"/>
  <c r="AJ204" i="1" s="1" a="1"/>
  <c r="AJ204" i="1" s="1"/>
  <c r="AG198" i="1"/>
  <c r="AH198" i="1" s="1"/>
  <c r="AH202" i="1"/>
  <c r="AI202" i="1" s="1"/>
  <c r="AJ202" i="1" s="1" a="1"/>
  <c r="AJ202" i="1" s="1"/>
  <c r="Z25" i="6"/>
  <c r="AE25" i="6"/>
  <c r="Z16" i="6"/>
  <c r="AN136" i="1"/>
  <c r="AN132" i="1"/>
  <c r="AN124" i="1"/>
  <c r="AN120" i="1"/>
  <c r="AW202" i="1" l="1"/>
  <c r="AV198" i="1"/>
  <c r="AX206" i="1"/>
  <c r="AY206" i="1" s="1"/>
  <c r="AZ206" i="1" s="1"/>
  <c r="AI198" i="1"/>
  <c r="AK202" i="1" a="1"/>
  <c r="AK202" i="1" s="1"/>
  <c r="AL202" i="1" s="1" a="1"/>
  <c r="AL202" i="1" s="1"/>
  <c r="AK204" i="1" a="1"/>
  <c r="AK204" i="1" s="1"/>
  <c r="AL204" i="1" s="1" a="1"/>
  <c r="AL204" i="1" s="1"/>
  <c r="AE20" i="6"/>
  <c r="Z20" i="6"/>
  <c r="AW198" i="1" l="1"/>
  <c r="AX198" i="1" s="1"/>
  <c r="AY198" i="1" s="1"/>
  <c r="AZ198" i="1" s="1"/>
  <c r="AX202" i="1"/>
  <c r="AY202" i="1" s="1"/>
  <c r="AZ202" i="1" s="1"/>
  <c r="AJ198" i="1" a="1"/>
  <c r="AJ198" i="1" s="1"/>
  <c r="AK198" i="1" s="1" a="1"/>
  <c r="AK198" i="1" s="1"/>
  <c r="AL198" i="1" s="1" a="1"/>
  <c r="AL198" i="1" s="1"/>
  <c r="AM204" i="1" a="1"/>
  <c r="AM204" i="1" s="1"/>
  <c r="AN204" i="1" s="1"/>
  <c r="AM202" i="1" a="1"/>
  <c r="AM202" i="1" s="1"/>
  <c r="AN202" i="1" s="1"/>
  <c r="W57" i="1" a="1"/>
  <c r="W57" i="1" s="1"/>
  <c r="V57" i="1" a="1"/>
  <c r="V57" i="1" s="1"/>
  <c r="U57" i="1" a="1"/>
  <c r="U57" i="1" s="1"/>
  <c r="AG59" i="1" a="1"/>
  <c r="AG59" i="1" s="1"/>
  <c r="AG57" i="1" a="1"/>
  <c r="AG57" i="1" s="1"/>
  <c r="AG65" i="1" a="1"/>
  <c r="AG65" i="1" s="1"/>
  <c r="AH65" i="1" a="1"/>
  <c r="AH65" i="1" s="1"/>
  <c r="AG63" i="1" a="1"/>
  <c r="AG63" i="1" s="1"/>
  <c r="AH63" i="1" a="1"/>
  <c r="AH63" i="1" s="1"/>
  <c r="AG61" i="1" a="1"/>
  <c r="AG61" i="1" s="1"/>
  <c r="AH61" i="1" a="1"/>
  <c r="AH61" i="1" s="1"/>
  <c r="AH59" i="1" a="1"/>
  <c r="AH59" i="1" s="1"/>
  <c r="AH57" i="1" a="1"/>
  <c r="AH57" i="1" s="1"/>
  <c r="V66" i="1"/>
  <c r="W66" i="1"/>
  <c r="V65" i="1" a="1"/>
  <c r="V65" i="1" s="1"/>
  <c r="W65" i="1" a="1"/>
  <c r="W65" i="1" s="1"/>
  <c r="V64" i="1"/>
  <c r="W64" i="1"/>
  <c r="V63" i="1" a="1"/>
  <c r="V63" i="1" s="1"/>
  <c r="W63" i="1" a="1"/>
  <c r="W63" i="1" s="1"/>
  <c r="V62" i="1"/>
  <c r="W62" i="1"/>
  <c r="V61" i="1" a="1"/>
  <c r="V61" i="1" s="1"/>
  <c r="W61" i="1" a="1"/>
  <c r="W61" i="1" s="1"/>
  <c r="V60" i="1"/>
  <c r="W60" i="1"/>
  <c r="V59" i="1" a="1"/>
  <c r="V59" i="1" s="1"/>
  <c r="W59" i="1" a="1"/>
  <c r="W59" i="1" s="1"/>
  <c r="V58" i="1"/>
  <c r="W58" i="1"/>
  <c r="AG30" i="1"/>
  <c r="AG29" i="1"/>
  <c r="AG88" i="1"/>
  <c r="G23" i="9" s="1"/>
  <c r="AG73" i="1"/>
  <c r="G8" i="9" s="1"/>
  <c r="AG72" i="1"/>
  <c r="G7" i="9" s="1"/>
  <c r="AH30" i="1"/>
  <c r="AH29" i="1"/>
  <c r="AH88" i="1"/>
  <c r="H23" i="9" s="1"/>
  <c r="AH73" i="1"/>
  <c r="H8" i="9" s="1"/>
  <c r="AH72" i="1"/>
  <c r="H7" i="9" s="1"/>
  <c r="AM198" i="1" l="1" a="1"/>
  <c r="AM198" i="1" s="1"/>
  <c r="AN198" i="1" s="1"/>
  <c r="AH126" i="1"/>
  <c r="H61" i="9" s="1"/>
  <c r="AG126" i="1"/>
  <c r="G61" i="9" s="1"/>
  <c r="AH129" i="1"/>
  <c r="H62" i="9" s="1"/>
  <c r="AG130" i="1"/>
  <c r="G63" i="9" s="1"/>
  <c r="AH133" i="1"/>
  <c r="H64" i="9" s="1"/>
  <c r="AH125" i="1"/>
  <c r="H60" i="9" s="1"/>
  <c r="AG133" i="1"/>
  <c r="G64" i="9" s="1"/>
  <c r="AG129" i="1"/>
  <c r="G62" i="9" s="1"/>
  <c r="AH130" i="1"/>
  <c r="H63" i="9" s="1"/>
  <c r="AG134" i="1"/>
  <c r="G65" i="9" s="1"/>
  <c r="AG125" i="1"/>
  <c r="G60" i="9" s="1"/>
  <c r="AH134" i="1"/>
  <c r="H65" i="9" s="1"/>
  <c r="AH89" i="1"/>
  <c r="H24" i="9" s="1"/>
  <c r="AH90" i="1"/>
  <c r="H25" i="9" s="1"/>
  <c r="AG89" i="1"/>
  <c r="G24" i="9" s="1"/>
  <c r="AG90" i="1"/>
  <c r="G25" i="9" s="1"/>
  <c r="AH122" i="1"/>
  <c r="H59" i="9" s="1"/>
  <c r="AG122" i="1"/>
  <c r="G59" i="9" s="1"/>
  <c r="AG121" i="1"/>
  <c r="G58" i="9" s="1"/>
  <c r="AH121" i="1"/>
  <c r="H58" i="9" s="1"/>
  <c r="AH118" i="1"/>
  <c r="H57" i="9" s="1"/>
  <c r="AG118" i="1"/>
  <c r="G57" i="9" s="1"/>
  <c r="AG67" i="1"/>
  <c r="AG71" i="1"/>
  <c r="AG31" i="1"/>
  <c r="Z10" i="6" s="1"/>
  <c r="AH117" i="1"/>
  <c r="H56" i="9" s="1"/>
  <c r="AH67" i="1"/>
  <c r="AH71" i="1"/>
  <c r="AH31" i="1"/>
  <c r="AG117" i="1"/>
  <c r="G56" i="9" s="1"/>
  <c r="AG91" i="1" l="1"/>
  <c r="Z13" i="6" s="1"/>
  <c r="AH91" i="1"/>
  <c r="AE13" i="6" s="1"/>
  <c r="AE10" i="6"/>
  <c r="H66" i="9"/>
  <c r="G66" i="9"/>
  <c r="H6" i="9"/>
  <c r="H26" i="9" s="1"/>
  <c r="G6" i="9"/>
  <c r="G26" i="9" s="1"/>
  <c r="O4" i="8"/>
  <c r="BF149" i="1"/>
  <c r="BF148" i="1"/>
  <c r="BF147" i="1"/>
  <c r="BF146" i="1"/>
  <c r="BF145" i="1"/>
  <c r="BF144" i="1"/>
  <c r="BF143" i="1"/>
  <c r="BF141" i="1"/>
  <c r="BF142" i="1"/>
  <c r="BF140" i="1"/>
  <c r="F149" i="1"/>
  <c r="F148" i="1"/>
  <c r="F147" i="1"/>
  <c r="F146" i="1"/>
  <c r="F145" i="1"/>
  <c r="F144" i="1"/>
  <c r="F143" i="1"/>
  <c r="F142" i="1"/>
  <c r="F141" i="1"/>
  <c r="F140" i="1"/>
  <c r="BD149" i="1" l="1"/>
  <c r="BC149" i="1"/>
  <c r="BB149" i="1"/>
  <c r="BD148" i="1"/>
  <c r="BC148" i="1"/>
  <c r="BB148" i="1"/>
  <c r="BD147" i="1"/>
  <c r="BC147" i="1"/>
  <c r="BB147" i="1"/>
  <c r="BD146" i="1"/>
  <c r="BC146" i="1"/>
  <c r="BB146" i="1"/>
  <c r="BD145" i="1"/>
  <c r="BC145" i="1"/>
  <c r="BB145" i="1"/>
  <c r="BD144" i="1"/>
  <c r="BC144" i="1"/>
  <c r="BB144" i="1"/>
  <c r="BD143" i="1"/>
  <c r="BC143" i="1"/>
  <c r="BB143" i="1"/>
  <c r="BD142" i="1"/>
  <c r="BC142" i="1"/>
  <c r="BB142" i="1"/>
  <c r="BD141" i="1"/>
  <c r="BC141" i="1"/>
  <c r="BB141" i="1"/>
  <c r="BD140" i="1"/>
  <c r="BC140" i="1"/>
  <c r="BB140" i="1"/>
  <c r="BU65" i="1" a="1"/>
  <c r="BU65" i="1" s="1"/>
  <c r="BV65" i="1" a="1"/>
  <c r="BV65" i="1" s="1"/>
  <c r="BT65" i="1" a="1"/>
  <c r="BT65" i="1" s="1"/>
  <c r="BU63" i="1" a="1"/>
  <c r="BU63" i="1" s="1"/>
  <c r="BV63" i="1" a="1"/>
  <c r="BV63" i="1" s="1"/>
  <c r="BT63" i="1" a="1"/>
  <c r="BT63" i="1" s="1"/>
  <c r="BU61" i="1" a="1"/>
  <c r="BU61" i="1" s="1"/>
  <c r="BV61" i="1" a="1"/>
  <c r="BV61" i="1" s="1"/>
  <c r="BT61" i="1" a="1"/>
  <c r="BT61" i="1" s="1"/>
  <c r="BU59" i="1" a="1"/>
  <c r="BU59" i="1" s="1"/>
  <c r="BV59" i="1" a="1"/>
  <c r="BV59" i="1" s="1"/>
  <c r="BT59" i="1" a="1"/>
  <c r="BT59" i="1" s="1"/>
  <c r="BD134" i="1"/>
  <c r="BC134" i="1"/>
  <c r="BB134" i="1"/>
  <c r="BD133" i="1"/>
  <c r="BC133" i="1"/>
  <c r="BB133" i="1"/>
  <c r="BD130" i="1"/>
  <c r="BC130" i="1"/>
  <c r="BB130" i="1"/>
  <c r="BD129" i="1"/>
  <c r="BC129" i="1"/>
  <c r="BB129" i="1"/>
  <c r="BD126" i="1"/>
  <c r="BC126" i="1"/>
  <c r="BB126" i="1"/>
  <c r="BD125" i="1"/>
  <c r="BC125" i="1"/>
  <c r="BB125" i="1"/>
  <c r="BD122" i="1"/>
  <c r="BC122" i="1"/>
  <c r="BB122" i="1"/>
  <c r="BD121" i="1"/>
  <c r="BC121" i="1"/>
  <c r="BB121" i="1"/>
  <c r="BD118" i="1"/>
  <c r="BC118" i="1"/>
  <c r="BB118" i="1"/>
  <c r="BD117" i="1"/>
  <c r="BC117" i="1"/>
  <c r="BB117" i="1"/>
  <c r="AU119" i="1" l="1" a="1"/>
  <c r="AU119" i="1" s="1"/>
  <c r="AX119" i="1" a="1"/>
  <c r="AX119" i="1" s="1"/>
  <c r="AY119" i="1" a="1"/>
  <c r="AY119" i="1" s="1"/>
  <c r="AW119" i="1" a="1"/>
  <c r="AW119" i="1" s="1"/>
  <c r="AT119" i="1" a="1"/>
  <c r="AT119" i="1" s="1"/>
  <c r="AV119" i="1" a="1"/>
  <c r="AV119" i="1" s="1"/>
  <c r="AW140" i="1" a="1"/>
  <c r="AW140" i="1" s="1"/>
  <c r="AT140" i="1" a="1"/>
  <c r="AT140" i="1" s="1"/>
  <c r="AV140" i="1" a="1"/>
  <c r="AV140" i="1" s="1"/>
  <c r="AU140" i="1" a="1"/>
  <c r="AU140" i="1" s="1"/>
  <c r="AX140" i="1" a="1"/>
  <c r="AX140" i="1" s="1"/>
  <c r="AY140" i="1" a="1"/>
  <c r="AY140" i="1" s="1"/>
  <c r="AY127" i="1" a="1"/>
  <c r="AY127" i="1" s="1"/>
  <c r="AU127" i="1" a="1"/>
  <c r="AU127" i="1" s="1"/>
  <c r="AV127" i="1" a="1"/>
  <c r="AV127" i="1" s="1"/>
  <c r="AT127" i="1" a="1"/>
  <c r="AT127" i="1" s="1"/>
  <c r="AX127" i="1" a="1"/>
  <c r="AX127" i="1" s="1"/>
  <c r="AW127" i="1" a="1"/>
  <c r="AW127" i="1" s="1"/>
  <c r="AU144" i="1" a="1"/>
  <c r="AU144" i="1" s="1"/>
  <c r="AT144" i="1" a="1"/>
  <c r="AT144" i="1" s="1"/>
  <c r="AY144" i="1" a="1"/>
  <c r="AY144" i="1" s="1"/>
  <c r="AV144" i="1" a="1"/>
  <c r="AV144" i="1" s="1"/>
  <c r="AX144" i="1" a="1"/>
  <c r="AX144" i="1" s="1"/>
  <c r="AW144" i="1" a="1"/>
  <c r="AW144" i="1" s="1"/>
  <c r="AY123" i="1" a="1"/>
  <c r="AY123" i="1" s="1"/>
  <c r="AX123" i="1" a="1"/>
  <c r="AX123" i="1" s="1"/>
  <c r="AV123" i="1" a="1"/>
  <c r="AV123" i="1" s="1"/>
  <c r="AU123" i="1" a="1"/>
  <c r="AU123" i="1" s="1"/>
  <c r="AT123" i="1" a="1"/>
  <c r="AT123" i="1" s="1"/>
  <c r="AW123" i="1" a="1"/>
  <c r="AW123" i="1" s="1"/>
  <c r="AT135" i="1" a="1"/>
  <c r="AT135" i="1" s="1"/>
  <c r="AU135" i="1" a="1"/>
  <c r="AU135" i="1" s="1"/>
  <c r="AX135" i="1" a="1"/>
  <c r="AX135" i="1" s="1"/>
  <c r="AY135" i="1" a="1"/>
  <c r="AY135" i="1" s="1"/>
  <c r="AV135" i="1" a="1"/>
  <c r="AV135" i="1" s="1"/>
  <c r="AW135" i="1" a="1"/>
  <c r="AW135" i="1" s="1"/>
  <c r="AV142" i="1" a="1"/>
  <c r="AV142" i="1" s="1"/>
  <c r="AW142" i="1" a="1"/>
  <c r="AW142" i="1" s="1"/>
  <c r="AT142" i="1" a="1"/>
  <c r="AT142" i="1" s="1"/>
  <c r="AX142" i="1" a="1"/>
  <c r="AX142" i="1" s="1"/>
  <c r="AU142" i="1" a="1"/>
  <c r="AU142" i="1" s="1"/>
  <c r="AY142" i="1" a="1"/>
  <c r="AY142" i="1" s="1"/>
  <c r="AT131" i="1" a="1"/>
  <c r="AT131" i="1" s="1"/>
  <c r="AY131" i="1" a="1"/>
  <c r="AY131" i="1" s="1"/>
  <c r="AV131" i="1" a="1"/>
  <c r="AV131" i="1" s="1"/>
  <c r="AW131" i="1" a="1"/>
  <c r="AW131" i="1" s="1"/>
  <c r="AU131" i="1" a="1"/>
  <c r="AU131" i="1" s="1"/>
  <c r="AX131" i="1" a="1"/>
  <c r="AX131" i="1" s="1"/>
  <c r="AU148" i="1" a="1"/>
  <c r="AU148" i="1" s="1"/>
  <c r="AV148" i="1" a="1"/>
  <c r="AV148" i="1" s="1"/>
  <c r="AY148" i="1" a="1"/>
  <c r="AY148" i="1" s="1"/>
  <c r="AW148" i="1" a="1"/>
  <c r="AW148" i="1" s="1"/>
  <c r="AX148" i="1" a="1"/>
  <c r="AX148" i="1" s="1"/>
  <c r="AT148" i="1" a="1"/>
  <c r="AT148" i="1" s="1"/>
  <c r="AV146" i="1" a="1"/>
  <c r="AV146" i="1" s="1"/>
  <c r="AW146" i="1" a="1"/>
  <c r="AW146" i="1" s="1"/>
  <c r="AT146" i="1" a="1"/>
  <c r="AT146" i="1" s="1"/>
  <c r="AY146" i="1" a="1"/>
  <c r="AY146" i="1" s="1"/>
  <c r="AX146" i="1" a="1"/>
  <c r="AX146" i="1" s="1"/>
  <c r="AU146" i="1" a="1"/>
  <c r="AU146" i="1" s="1"/>
  <c r="AP127" i="1" a="1"/>
  <c r="AP127" i="1" s="1"/>
  <c r="AP119" i="1" a="1"/>
  <c r="AP119" i="1" s="1"/>
  <c r="AP131" i="1" a="1"/>
  <c r="AP131" i="1" s="1"/>
  <c r="AP123" i="1" a="1"/>
  <c r="AP123" i="1" s="1"/>
  <c r="AP135" i="1" a="1"/>
  <c r="AP135" i="1" s="1"/>
  <c r="AS144" i="1" a="1"/>
  <c r="AS144" i="1" s="1"/>
  <c r="AS119" i="1" a="1"/>
  <c r="AS119" i="1" s="1"/>
  <c r="AS131" i="1" a="1"/>
  <c r="AS131" i="1" s="1"/>
  <c r="AS127" i="1" a="1"/>
  <c r="AS127" i="1" s="1"/>
  <c r="AS140" i="1" a="1"/>
  <c r="AS140" i="1" s="1"/>
  <c r="AS148" i="1" a="1"/>
  <c r="AS148" i="1" s="1"/>
  <c r="AS142" i="1" a="1"/>
  <c r="AS142" i="1" s="1"/>
  <c r="AS123" i="1" a="1"/>
  <c r="AS123" i="1" s="1"/>
  <c r="AS146" i="1" a="1"/>
  <c r="AS146" i="1" s="1"/>
  <c r="AS135" i="1" a="1"/>
  <c r="AS135" i="1" s="1"/>
  <c r="AQ142" i="1" a="1"/>
  <c r="AQ142" i="1" s="1"/>
  <c r="AQ146" i="1" a="1"/>
  <c r="AQ146" i="1" s="1"/>
  <c r="AQ119" i="1" a="1"/>
  <c r="AQ119" i="1" s="1"/>
  <c r="AR123" i="1" a="1"/>
  <c r="AR123" i="1" s="1"/>
  <c r="AP144" i="1" a="1"/>
  <c r="AP144" i="1" s="1"/>
  <c r="AR127" i="1" a="1"/>
  <c r="AR127" i="1" s="1"/>
  <c r="AP148" i="1" a="1"/>
  <c r="AP148" i="1" s="1"/>
  <c r="AP140" i="1" a="1"/>
  <c r="AP140" i="1" s="1"/>
  <c r="AQ127" i="1" a="1"/>
  <c r="AQ127" i="1" s="1"/>
  <c r="AR142" i="1" a="1"/>
  <c r="AR142" i="1" s="1"/>
  <c r="AR140" i="1" a="1"/>
  <c r="AR140" i="1" s="1"/>
  <c r="AP146" i="1" a="1"/>
  <c r="AP146" i="1" s="1"/>
  <c r="AR144" i="1" a="1"/>
  <c r="AR144" i="1" s="1"/>
  <c r="AQ140" i="1" a="1"/>
  <c r="AQ140" i="1" s="1"/>
  <c r="AR131" i="1" a="1"/>
  <c r="AR131" i="1" s="1"/>
  <c r="AR146" i="1" a="1"/>
  <c r="AR146" i="1" s="1"/>
  <c r="AP142" i="1" a="1"/>
  <c r="AP142" i="1" s="1"/>
  <c r="AR135" i="1" a="1"/>
  <c r="AR135" i="1" s="1"/>
  <c r="AR148" i="1" a="1"/>
  <c r="AR148" i="1" s="1"/>
  <c r="AQ135" i="1" a="1"/>
  <c r="AQ135" i="1" s="1"/>
  <c r="AQ148" i="1" a="1"/>
  <c r="AQ148" i="1" s="1"/>
  <c r="AQ131" i="1" a="1"/>
  <c r="AQ131" i="1" s="1"/>
  <c r="AR119" i="1" a="1"/>
  <c r="AR119" i="1" s="1"/>
  <c r="AQ123" i="1" a="1"/>
  <c r="AQ123" i="1" s="1"/>
  <c r="AQ144" i="1" a="1"/>
  <c r="AQ144" i="1" s="1"/>
  <c r="AZ142" i="1" l="1"/>
  <c r="AZ119" i="1"/>
  <c r="AZ140" i="1"/>
  <c r="AZ146" i="1"/>
  <c r="AZ148" i="1"/>
  <c r="AZ135" i="1"/>
  <c r="AY137" i="1"/>
  <c r="AZ144" i="1"/>
  <c r="AZ123" i="1"/>
  <c r="AZ131" i="1"/>
  <c r="AZ127" i="1"/>
  <c r="AT137" i="1"/>
  <c r="AV137" i="1"/>
  <c r="AX137" i="1"/>
  <c r="AW137" i="1"/>
  <c r="AU137" i="1"/>
  <c r="AY150" i="1"/>
  <c r="AU150" i="1"/>
  <c r="AW150" i="1"/>
  <c r="AV150" i="1"/>
  <c r="AX150" i="1"/>
  <c r="AT150" i="1"/>
  <c r="AS137" i="1"/>
  <c r="AS150" i="1"/>
  <c r="AQ150" i="1"/>
  <c r="AP150" i="1"/>
  <c r="AR150" i="1"/>
  <c r="BC109" i="1"/>
  <c r="BC110" i="1"/>
  <c r="BC111" i="1"/>
  <c r="BC112" i="1"/>
  <c r="BC113" i="1"/>
  <c r="BC94" i="1"/>
  <c r="BB109" i="1"/>
  <c r="BB110" i="1"/>
  <c r="BB111" i="1"/>
  <c r="BB112" i="1"/>
  <c r="BB113" i="1"/>
  <c r="BB94" i="1"/>
  <c r="BD72" i="1"/>
  <c r="BD73" i="1"/>
  <c r="BD88" i="1"/>
  <c r="BD89" i="1"/>
  <c r="BD90" i="1"/>
  <c r="BD71" i="1"/>
  <c r="BB72" i="1"/>
  <c r="BB73" i="1"/>
  <c r="BB88" i="1"/>
  <c r="BB89" i="1"/>
  <c r="BB90" i="1"/>
  <c r="BB71" i="1"/>
  <c r="AZ150" i="1" l="1"/>
  <c r="AR66" i="1"/>
  <c r="AR65" i="1" a="1"/>
  <c r="AR65" i="1" s="1"/>
  <c r="AR64" i="1"/>
  <c r="AR63" i="1" a="1"/>
  <c r="AR63" i="1" s="1"/>
  <c r="AR62" i="1"/>
  <c r="AR60" i="1"/>
  <c r="AR58" i="1"/>
  <c r="AQ66" i="1"/>
  <c r="AQ65" i="1" a="1"/>
  <c r="AQ65" i="1" s="1"/>
  <c r="AQ64" i="1"/>
  <c r="AQ63" i="1" a="1"/>
  <c r="AQ63" i="1" s="1"/>
  <c r="AQ62" i="1"/>
  <c r="AQ60" i="1"/>
  <c r="AQ58" i="1"/>
  <c r="AP66" i="1"/>
  <c r="AP64" i="1"/>
  <c r="AP63" i="1" a="1"/>
  <c r="AP63" i="1" s="1"/>
  <c r="AP62" i="1"/>
  <c r="AP60" i="1"/>
  <c r="AP58" i="1"/>
  <c r="AR61" i="1" a="1"/>
  <c r="AR61" i="1" s="1"/>
  <c r="AR59" i="1" a="1"/>
  <c r="AR59" i="1" s="1"/>
  <c r="AP57" i="1" a="1"/>
  <c r="AP57" i="1" s="1"/>
  <c r="AD61" i="1" a="1"/>
  <c r="AD61" i="1" s="1"/>
  <c r="AE59" i="1" a="1"/>
  <c r="AE59" i="1" s="1"/>
  <c r="AD57" i="1" a="1"/>
  <c r="AD57" i="1" s="1"/>
  <c r="BR53" i="1"/>
  <c r="BR52" i="1"/>
  <c r="BR51" i="1"/>
  <c r="BR50" i="1"/>
  <c r="BR49" i="1"/>
  <c r="BR48" i="1"/>
  <c r="BR47" i="1"/>
  <c r="BR34" i="1"/>
  <c r="AR72" i="1"/>
  <c r="T7" i="9" s="1"/>
  <c r="AQ72" i="1"/>
  <c r="S7" i="9" s="1"/>
  <c r="AP12" i="1"/>
  <c r="AZ12" i="1" s="1"/>
  <c r="AR28" i="1"/>
  <c r="AR89" i="1"/>
  <c r="T24" i="9" s="1"/>
  <c r="AR30" i="1"/>
  <c r="AQ13" i="1"/>
  <c r="AZ13" i="1" s="1"/>
  <c r="AQ88" i="1"/>
  <c r="S23" i="9" s="1"/>
  <c r="AQ29" i="1"/>
  <c r="AZ29" i="1" s="1"/>
  <c r="AQ30" i="1"/>
  <c r="AP73" i="1"/>
  <c r="AP28" i="1"/>
  <c r="AP30" i="1"/>
  <c r="N5" i="8"/>
  <c r="N6" i="8"/>
  <c r="N7" i="8"/>
  <c r="N8" i="8"/>
  <c r="N9" i="8"/>
  <c r="N10" i="8"/>
  <c r="N11" i="8"/>
  <c r="N12" i="8"/>
  <c r="N13" i="8"/>
  <c r="H4" i="8"/>
  <c r="M4" i="8" s="1"/>
  <c r="S5" i="8"/>
  <c r="S6" i="8"/>
  <c r="S7" i="8"/>
  <c r="S8" i="8"/>
  <c r="S9" i="8"/>
  <c r="S10" i="8"/>
  <c r="S11" i="8"/>
  <c r="S12" i="8"/>
  <c r="S13" i="8"/>
  <c r="S4" i="8"/>
  <c r="AE65" i="1" a="1"/>
  <c r="AE65" i="1" s="1"/>
  <c r="AF65" i="1" a="1"/>
  <c r="AF65" i="1" s="1"/>
  <c r="AE63" i="1" a="1"/>
  <c r="AE63" i="1" s="1"/>
  <c r="AF63" i="1" a="1"/>
  <c r="AF63" i="1" s="1"/>
  <c r="AD65" i="1" a="1"/>
  <c r="AD65" i="1" s="1"/>
  <c r="AD63" i="1" a="1"/>
  <c r="AD63" i="1" s="1"/>
  <c r="T65" i="1" a="1"/>
  <c r="T65" i="1" s="1"/>
  <c r="U65" i="1" a="1"/>
  <c r="U65" i="1" s="1"/>
  <c r="S65" i="1" a="1"/>
  <c r="S65" i="1" s="1"/>
  <c r="T63" i="1" a="1"/>
  <c r="T63" i="1" s="1"/>
  <c r="U63" i="1" a="1"/>
  <c r="U63" i="1" s="1"/>
  <c r="S63" i="1" a="1"/>
  <c r="S63" i="1" s="1"/>
  <c r="T61" i="1" a="1"/>
  <c r="T61" i="1" s="1"/>
  <c r="U61" i="1" a="1"/>
  <c r="U61" i="1" s="1"/>
  <c r="S61" i="1" a="1"/>
  <c r="S61" i="1" s="1"/>
  <c r="T59" i="1" a="1"/>
  <c r="T59" i="1" s="1"/>
  <c r="U59" i="1" a="1"/>
  <c r="U59" i="1" s="1"/>
  <c r="S59" i="1" a="1"/>
  <c r="S59" i="1" s="1"/>
  <c r="T57" i="1" a="1"/>
  <c r="T57" i="1" s="1"/>
  <c r="AZ63" i="1" l="1"/>
  <c r="AZ65" i="1"/>
  <c r="AZ58" i="1"/>
  <c r="AZ60" i="1"/>
  <c r="AZ64" i="1"/>
  <c r="AZ66" i="1"/>
  <c r="AZ62" i="1"/>
  <c r="AZ28" i="1"/>
  <c r="AO28" i="1" s="1"/>
  <c r="AZ30" i="1"/>
  <c r="R8" i="9"/>
  <c r="AN63" i="1"/>
  <c r="AN65" i="1"/>
  <c r="AX52" i="1"/>
  <c r="AU52" i="1"/>
  <c r="AW52" i="1"/>
  <c r="AV52" i="1"/>
  <c r="AY52" i="1"/>
  <c r="AV53" i="1"/>
  <c r="AX53" i="1"/>
  <c r="AW53" i="1"/>
  <c r="AU53" i="1"/>
  <c r="AY53" i="1"/>
  <c r="AU34" i="1"/>
  <c r="AV34" i="1"/>
  <c r="AY34" i="1"/>
  <c r="AW34" i="1"/>
  <c r="AX34" i="1"/>
  <c r="AW49" i="1"/>
  <c r="AY49" i="1"/>
  <c r="AV49" i="1"/>
  <c r="AX49" i="1"/>
  <c r="AU49" i="1"/>
  <c r="AW50" i="1"/>
  <c r="AY50" i="1"/>
  <c r="AU50" i="1"/>
  <c r="AV50" i="1"/>
  <c r="AX50" i="1"/>
  <c r="AY47" i="1"/>
  <c r="AV47" i="1"/>
  <c r="AX47" i="1"/>
  <c r="AU47" i="1"/>
  <c r="AW47" i="1"/>
  <c r="AU51" i="1"/>
  <c r="AW51" i="1"/>
  <c r="AY51" i="1"/>
  <c r="AX51" i="1"/>
  <c r="AV51" i="1"/>
  <c r="AY48" i="1"/>
  <c r="AV48" i="1"/>
  <c r="AX48" i="1"/>
  <c r="AU48" i="1"/>
  <c r="AW48" i="1"/>
  <c r="AQ90" i="1"/>
  <c r="S25" i="9" s="1"/>
  <c r="AR90" i="1"/>
  <c r="T25" i="9" s="1"/>
  <c r="AP31" i="1"/>
  <c r="AT49" i="1"/>
  <c r="AS49" i="1"/>
  <c r="AR49" i="1"/>
  <c r="AQ49" i="1"/>
  <c r="AP49" i="1"/>
  <c r="AR88" i="1"/>
  <c r="T23" i="9" s="1"/>
  <c r="AR31" i="1"/>
  <c r="AT50" i="1"/>
  <c r="AS50" i="1"/>
  <c r="AR50" i="1"/>
  <c r="AQ50" i="1"/>
  <c r="AP50" i="1"/>
  <c r="AO12" i="1"/>
  <c r="AT52" i="1"/>
  <c r="AS52" i="1"/>
  <c r="AR52" i="1"/>
  <c r="AQ52" i="1"/>
  <c r="AP52" i="1"/>
  <c r="AQ89" i="1"/>
  <c r="S24" i="9" s="1"/>
  <c r="AS53" i="1"/>
  <c r="AQ53" i="1"/>
  <c r="AT53" i="1"/>
  <c r="AR53" i="1"/>
  <c r="AP53" i="1"/>
  <c r="AT51" i="1"/>
  <c r="AS51" i="1"/>
  <c r="AR51" i="1"/>
  <c r="AQ51" i="1"/>
  <c r="AP51" i="1"/>
  <c r="AT34" i="1"/>
  <c r="AS34" i="1"/>
  <c r="AR34" i="1"/>
  <c r="AQ34" i="1"/>
  <c r="AP34" i="1"/>
  <c r="AT48" i="1"/>
  <c r="AR48" i="1"/>
  <c r="AP48" i="1"/>
  <c r="AS48" i="1"/>
  <c r="AQ48" i="1"/>
  <c r="AQ31" i="1"/>
  <c r="AO13" i="1"/>
  <c r="AT47" i="1"/>
  <c r="AS47" i="1"/>
  <c r="AR47" i="1"/>
  <c r="AQ47" i="1"/>
  <c r="AP47" i="1"/>
  <c r="AP90" i="1"/>
  <c r="AP89" i="1"/>
  <c r="AP88" i="1"/>
  <c r="AR73" i="1"/>
  <c r="T8" i="9" s="1"/>
  <c r="AQ73" i="1"/>
  <c r="S8" i="9" s="1"/>
  <c r="AP72" i="1"/>
  <c r="AZ72" i="1" s="1"/>
  <c r="AF61" i="1" a="1"/>
  <c r="AF61" i="1" s="1"/>
  <c r="AP61" i="1" a="1"/>
  <c r="AP61" i="1" s="1"/>
  <c r="AE57" i="1" a="1"/>
  <c r="AE57" i="1" s="1"/>
  <c r="AF59" i="1" a="1"/>
  <c r="AF59" i="1" s="1"/>
  <c r="AQ59" i="1" a="1"/>
  <c r="AQ59" i="1" s="1"/>
  <c r="AP59" i="1" a="1"/>
  <c r="AP59" i="1" s="1"/>
  <c r="AQ57" i="1" a="1"/>
  <c r="AQ57" i="1" s="1"/>
  <c r="AE61" i="1" a="1"/>
  <c r="AE61" i="1" s="1"/>
  <c r="AR57" i="1" a="1"/>
  <c r="AR57" i="1" s="1"/>
  <c r="AQ61" i="1" a="1"/>
  <c r="AQ61" i="1" s="1"/>
  <c r="AP71" i="1"/>
  <c r="AR71" i="1"/>
  <c r="T6" i="9" s="1"/>
  <c r="AD59" i="1" a="1"/>
  <c r="AD59" i="1" s="1"/>
  <c r="AF57" i="1" a="1"/>
  <c r="AF57" i="1" s="1"/>
  <c r="D149" i="1"/>
  <c r="D148" i="1"/>
  <c r="D147" i="1"/>
  <c r="D146" i="1"/>
  <c r="D145" i="1"/>
  <c r="D144" i="1"/>
  <c r="D143" i="1"/>
  <c r="D142" i="1"/>
  <c r="D141" i="1"/>
  <c r="D140" i="1"/>
  <c r="D134" i="1"/>
  <c r="D133" i="1"/>
  <c r="D130" i="1"/>
  <c r="D129" i="1"/>
  <c r="D126" i="1"/>
  <c r="D125" i="1"/>
  <c r="D122" i="1"/>
  <c r="D121" i="1"/>
  <c r="D118" i="1"/>
  <c r="D117" i="1"/>
  <c r="S60" i="1"/>
  <c r="S62" i="1"/>
  <c r="S64" i="1"/>
  <c r="S66" i="1"/>
  <c r="AZ59" i="1" l="1"/>
  <c r="AS107" i="1"/>
  <c r="U44" i="9"/>
  <c r="AX108" i="1"/>
  <c r="Z45" i="9" s="1"/>
  <c r="AW107" i="1"/>
  <c r="Y44" i="9" s="1"/>
  <c r="AY110" i="1"/>
  <c r="AA47" i="9" s="1"/>
  <c r="AV113" i="1"/>
  <c r="X50" i="9" s="1"/>
  <c r="AS110" i="1"/>
  <c r="U47" i="9" s="1"/>
  <c r="AY108" i="1"/>
  <c r="AA45" i="9" s="1"/>
  <c r="AX107" i="1"/>
  <c r="Z44" i="9" s="1"/>
  <c r="AU109" i="1"/>
  <c r="W46" i="9" s="1"/>
  <c r="AV112" i="1"/>
  <c r="X49" i="9"/>
  <c r="AY112" i="1"/>
  <c r="AA49" i="9" s="1"/>
  <c r="AV111" i="1"/>
  <c r="X48" i="9" s="1"/>
  <c r="AV107" i="1"/>
  <c r="X44" i="9" s="1"/>
  <c r="AX109" i="1"/>
  <c r="Z46" i="9" s="1"/>
  <c r="AW112" i="1"/>
  <c r="Y49" i="9" s="1"/>
  <c r="AS109" i="1"/>
  <c r="U46" i="9" s="1"/>
  <c r="AU107" i="1"/>
  <c r="W44" i="9"/>
  <c r="AQ108" i="1"/>
  <c r="S45" i="9" s="1"/>
  <c r="AS112" i="1"/>
  <c r="U49" i="9" s="1"/>
  <c r="AX111" i="1"/>
  <c r="Z48" i="9" s="1"/>
  <c r="AY107" i="1"/>
  <c r="AA44" i="9" s="1"/>
  <c r="AV109" i="1"/>
  <c r="X46" i="9" s="1"/>
  <c r="AY113" i="1"/>
  <c r="AA50" i="9"/>
  <c r="AU112" i="1"/>
  <c r="W49" i="9" s="1"/>
  <c r="AY111" i="1"/>
  <c r="AA48" i="9" s="1"/>
  <c r="AX110" i="1"/>
  <c r="Z47" i="9"/>
  <c r="AY109" i="1"/>
  <c r="AA46" i="9" s="1"/>
  <c r="AU113" i="1"/>
  <c r="W50" i="9" s="1"/>
  <c r="AX112" i="1"/>
  <c r="Z49" i="9" s="1"/>
  <c r="AW110" i="1"/>
  <c r="Y47" i="9" s="1"/>
  <c r="AW108" i="1"/>
  <c r="Y45" i="9" s="1"/>
  <c r="AW111" i="1"/>
  <c r="Y48" i="9" s="1"/>
  <c r="AV110" i="1"/>
  <c r="X47" i="9" s="1"/>
  <c r="AW109" i="1"/>
  <c r="Y46" i="9" s="1"/>
  <c r="AW113" i="1"/>
  <c r="Y50" i="9" s="1"/>
  <c r="AS111" i="1"/>
  <c r="U48" i="9" s="1"/>
  <c r="AV108" i="1"/>
  <c r="X45" i="9" s="1"/>
  <c r="AS108" i="1"/>
  <c r="U45" i="9" s="1"/>
  <c r="AQ107" i="1"/>
  <c r="S44" i="9" s="1"/>
  <c r="AR107" i="1"/>
  <c r="T44" i="9" s="1"/>
  <c r="AR108" i="1"/>
  <c r="T45" i="9" s="1"/>
  <c r="AS113" i="1"/>
  <c r="U50" i="9" s="1"/>
  <c r="AU108" i="1"/>
  <c r="W45" i="9" s="1"/>
  <c r="AU111" i="1"/>
  <c r="W48" i="9" s="1"/>
  <c r="AU110" i="1"/>
  <c r="W47" i="9" s="1"/>
  <c r="AX113" i="1"/>
  <c r="Z50" i="9" s="1"/>
  <c r="AZ57" i="1"/>
  <c r="AZ61" i="1"/>
  <c r="AP67" i="1"/>
  <c r="AQ67" i="1"/>
  <c r="AN57" i="1"/>
  <c r="AZ90" i="1"/>
  <c r="AZ53" i="1"/>
  <c r="AQ54" i="1"/>
  <c r="AZ52" i="1"/>
  <c r="AZ51" i="1"/>
  <c r="AZ50" i="1"/>
  <c r="AT54" i="1"/>
  <c r="AT68" i="1" s="1"/>
  <c r="AZ49" i="1"/>
  <c r="AS54" i="1"/>
  <c r="AS68" i="1" s="1"/>
  <c r="AP108" i="1"/>
  <c r="R45" i="9" s="1"/>
  <c r="AZ48" i="1"/>
  <c r="AP107" i="1"/>
  <c r="R44" i="9" s="1"/>
  <c r="AZ47" i="1"/>
  <c r="AV54" i="1"/>
  <c r="AV94" i="1"/>
  <c r="X31" i="9" s="1"/>
  <c r="AU54" i="1"/>
  <c r="AU94" i="1"/>
  <c r="AR94" i="1"/>
  <c r="T31" i="9" s="1"/>
  <c r="AR54" i="1"/>
  <c r="AX54" i="1"/>
  <c r="AX94" i="1"/>
  <c r="Z31" i="9" s="1"/>
  <c r="AP54" i="1"/>
  <c r="AZ34" i="1"/>
  <c r="AW54" i="1"/>
  <c r="AW94" i="1"/>
  <c r="AY54" i="1"/>
  <c r="AY94" i="1"/>
  <c r="AB8" i="9"/>
  <c r="R24" i="9"/>
  <c r="AB24" i="9" s="1"/>
  <c r="AZ89" i="1"/>
  <c r="R23" i="9"/>
  <c r="AB23" i="9" s="1"/>
  <c r="AZ88" i="1"/>
  <c r="AZ73" i="1"/>
  <c r="R6" i="9"/>
  <c r="AB6" i="9" s="1"/>
  <c r="AZ71" i="1"/>
  <c r="AN61" i="1"/>
  <c r="AN59" i="1"/>
  <c r="AD140" i="1" a="1"/>
  <c r="AD140" i="1" s="1"/>
  <c r="AK140" i="1" a="1"/>
  <c r="AK140" i="1" s="1"/>
  <c r="AL140" i="1" a="1"/>
  <c r="AL140" i="1" s="1"/>
  <c r="AM140" i="1" a="1"/>
  <c r="AM140" i="1" s="1"/>
  <c r="AI140" i="1" a="1"/>
  <c r="AI140" i="1" s="1"/>
  <c r="AJ140" i="1" a="1"/>
  <c r="AJ140" i="1" s="1"/>
  <c r="AD119" i="1" a="1"/>
  <c r="AD119" i="1" s="1"/>
  <c r="AI119" i="1" a="1"/>
  <c r="AI119" i="1" s="1"/>
  <c r="AM119" i="1" a="1"/>
  <c r="AM119" i="1" s="1"/>
  <c r="AL119" i="1" a="1"/>
  <c r="AL119" i="1" s="1"/>
  <c r="AJ119" i="1" a="1"/>
  <c r="AJ119" i="1" s="1"/>
  <c r="AK119" i="1" a="1"/>
  <c r="AK119" i="1" s="1"/>
  <c r="AR67" i="1"/>
  <c r="S26" i="9"/>
  <c r="T26" i="9"/>
  <c r="R25" i="9"/>
  <c r="AB25" i="9" s="1"/>
  <c r="AT107" i="1"/>
  <c r="V44" i="9" s="1"/>
  <c r="AT108" i="1"/>
  <c r="V45" i="9" s="1"/>
  <c r="AT111" i="1"/>
  <c r="V48" i="9" s="1"/>
  <c r="AT109" i="1"/>
  <c r="V46" i="9" s="1"/>
  <c r="AT110" i="1"/>
  <c r="V47" i="9" s="1"/>
  <c r="AT113" i="1"/>
  <c r="V50" i="9" s="1"/>
  <c r="AT112" i="1"/>
  <c r="V49" i="9" s="1"/>
  <c r="AD67" i="1"/>
  <c r="R7" i="9"/>
  <c r="AB7" i="9" s="1"/>
  <c r="AF67" i="1"/>
  <c r="AE67" i="1"/>
  <c r="AZ31" i="1"/>
  <c r="AS94" i="1"/>
  <c r="U31" i="9" s="1"/>
  <c r="AT94" i="1"/>
  <c r="V31" i="9" s="1"/>
  <c r="AQ94" i="1"/>
  <c r="S31" i="9" s="1"/>
  <c r="AP94" i="1"/>
  <c r="R31" i="9" s="1"/>
  <c r="T58" i="1"/>
  <c r="U58" i="1"/>
  <c r="T60" i="1"/>
  <c r="U60" i="1"/>
  <c r="T62" i="1"/>
  <c r="U62" i="1"/>
  <c r="T64" i="1"/>
  <c r="U64" i="1"/>
  <c r="T66" i="1"/>
  <c r="U66" i="1"/>
  <c r="C134" i="1"/>
  <c r="C126" i="1"/>
  <c r="C122" i="1"/>
  <c r="C118" i="1"/>
  <c r="B142" i="1"/>
  <c r="AD142" i="1" s="1" a="1"/>
  <c r="AD142" i="1" s="1"/>
  <c r="B143" i="1"/>
  <c r="B144" i="1"/>
  <c r="AH144" i="1" s="1" a="1"/>
  <c r="AH144" i="1" s="1"/>
  <c r="B145" i="1"/>
  <c r="B146" i="1"/>
  <c r="AK146" i="1" s="1" a="1"/>
  <c r="AK146" i="1" s="1"/>
  <c r="B147" i="1"/>
  <c r="B148" i="1"/>
  <c r="AH148" i="1" s="1" a="1"/>
  <c r="AH148" i="1" s="1"/>
  <c r="B149" i="1"/>
  <c r="C141" i="1"/>
  <c r="C142" i="1"/>
  <c r="C143" i="1"/>
  <c r="C144" i="1"/>
  <c r="C145" i="1"/>
  <c r="C146" i="1"/>
  <c r="C147" i="1"/>
  <c r="C148" i="1"/>
  <c r="C149" i="1"/>
  <c r="X51" i="9" l="1"/>
  <c r="AX114" i="1"/>
  <c r="U51" i="9"/>
  <c r="AW114" i="1"/>
  <c r="AU114" i="1"/>
  <c r="V51" i="9"/>
  <c r="Y31" i="9"/>
  <c r="Y51" i="9" s="1"/>
  <c r="AY114" i="1"/>
  <c r="AS114" i="1"/>
  <c r="Z51" i="9"/>
  <c r="W31" i="9"/>
  <c r="W51" i="9" s="1"/>
  <c r="AV114" i="1"/>
  <c r="AA31" i="9"/>
  <c r="AA51" i="9" s="1"/>
  <c r="AZ67" i="1"/>
  <c r="AZ94" i="1"/>
  <c r="AZ107" i="1"/>
  <c r="AB44" i="9" s="1"/>
  <c r="AZ108" i="1"/>
  <c r="AN67" i="1"/>
  <c r="AM148" i="1" a="1"/>
  <c r="AM148" i="1" s="1"/>
  <c r="AZ54" i="1"/>
  <c r="AZ91" i="1"/>
  <c r="AM142" i="1" a="1"/>
  <c r="AM142" i="1" s="1"/>
  <c r="AM146" i="1" a="1"/>
  <c r="AM146" i="1" s="1"/>
  <c r="AI146" i="1" a="1"/>
  <c r="AI146" i="1" s="1"/>
  <c r="AJ146" i="1" a="1"/>
  <c r="AJ146" i="1" s="1"/>
  <c r="AJ148" i="1" a="1"/>
  <c r="AJ148" i="1" s="1"/>
  <c r="AM144" i="1" a="1"/>
  <c r="AM144" i="1" s="1"/>
  <c r="AK148" i="1" a="1"/>
  <c r="AK148" i="1" s="1"/>
  <c r="AL146" i="1" a="1"/>
  <c r="AL146" i="1" s="1"/>
  <c r="AJ144" i="1" a="1"/>
  <c r="AJ144" i="1" s="1"/>
  <c r="AI142" i="1" a="1"/>
  <c r="AI142" i="1" s="1"/>
  <c r="AI144" i="1" a="1"/>
  <c r="AI144" i="1" s="1"/>
  <c r="AL142" i="1" a="1"/>
  <c r="AL142" i="1" s="1"/>
  <c r="AK144" i="1" a="1"/>
  <c r="AK144" i="1" s="1"/>
  <c r="AJ142" i="1" a="1"/>
  <c r="AJ142" i="1" s="1"/>
  <c r="AL148" i="1" a="1"/>
  <c r="AL148" i="1" s="1"/>
  <c r="AL144" i="1" a="1"/>
  <c r="AL144" i="1" s="1"/>
  <c r="AK142" i="1" a="1"/>
  <c r="AK142" i="1" s="1"/>
  <c r="AI148" i="1" a="1"/>
  <c r="AI148" i="1" s="1"/>
  <c r="AR68" i="1"/>
  <c r="R26" i="9"/>
  <c r="AB26" i="9" s="1"/>
  <c r="AT114" i="1"/>
  <c r="AP68" i="1"/>
  <c r="AS151" i="1"/>
  <c r="AS208" i="1" s="1"/>
  <c r="AQ68" i="1"/>
  <c r="AG148" i="1" a="1"/>
  <c r="AG148" i="1" s="1"/>
  <c r="AG142" i="1" a="1"/>
  <c r="AG142" i="1" s="1"/>
  <c r="AF146" i="1" a="1"/>
  <c r="AF146" i="1" s="1"/>
  <c r="AH146" i="1" a="1"/>
  <c r="AH146" i="1" s="1"/>
  <c r="AG146" i="1" a="1"/>
  <c r="AG146" i="1" s="1"/>
  <c r="AG144" i="1" a="1"/>
  <c r="AG144" i="1" s="1"/>
  <c r="AH142" i="1" a="1"/>
  <c r="AH142" i="1" s="1"/>
  <c r="AE146" i="1" a="1"/>
  <c r="AE146" i="1" s="1"/>
  <c r="AD146" i="1" a="1"/>
  <c r="AD146" i="1" s="1"/>
  <c r="AE142" i="1" a="1"/>
  <c r="AE142" i="1" s="1"/>
  <c r="AE148" i="1" a="1"/>
  <c r="AE148" i="1" s="1"/>
  <c r="AD148" i="1" a="1"/>
  <c r="AD148" i="1" s="1"/>
  <c r="AF142" i="1" a="1"/>
  <c r="AF142" i="1" s="1"/>
  <c r="AD144" i="1" a="1"/>
  <c r="AD144" i="1" s="1"/>
  <c r="AE144" i="1" a="1"/>
  <c r="AE144" i="1" s="1"/>
  <c r="AF144" i="1" a="1"/>
  <c r="AF144" i="1" s="1"/>
  <c r="AF148" i="1" a="1"/>
  <c r="AF148" i="1" s="1"/>
  <c r="AZ68" i="1" l="1"/>
  <c r="AS210" i="1"/>
  <c r="AS211" i="1" s="1" a="1"/>
  <c r="AS211" i="1" s="1"/>
  <c r="AN142" i="1"/>
  <c r="AN144" i="1"/>
  <c r="AB31" i="9"/>
  <c r="AN148" i="1"/>
  <c r="AN146" i="1"/>
  <c r="AT151" i="1"/>
  <c r="AV208" i="1" s="1"/>
  <c r="AV210" i="1" s="1" a="1"/>
  <c r="AV210" i="1" s="1"/>
  <c r="AV211" i="1" s="1" a="1"/>
  <c r="AV211" i="1" s="1"/>
  <c r="AV151" i="1"/>
  <c r="AW151" i="1"/>
  <c r="AU151" i="1"/>
  <c r="AY151" i="1"/>
  <c r="AX151" i="1"/>
  <c r="AM150" i="1"/>
  <c r="BD15" i="6" s="1"/>
  <c r="AL150" i="1"/>
  <c r="AY15" i="6" s="1"/>
  <c r="AJ150" i="1"/>
  <c r="AO15" i="6" s="1"/>
  <c r="AB45" i="9"/>
  <c r="AK150" i="1"/>
  <c r="AT15" i="6" s="1"/>
  <c r="AI150" i="1"/>
  <c r="AJ15" i="6" s="1"/>
  <c r="BU66" i="1"/>
  <c r="BV66" i="1"/>
  <c r="BT66" i="1"/>
  <c r="BU64" i="1"/>
  <c r="BU62" i="1"/>
  <c r="BV62" i="1"/>
  <c r="BT62" i="1"/>
  <c r="BU60" i="1"/>
  <c r="BV60" i="1"/>
  <c r="BT60" i="1"/>
  <c r="BU58" i="1"/>
  <c r="BV58" i="1"/>
  <c r="BT58" i="1"/>
  <c r="AW208" i="1" l="1"/>
  <c r="AW210" i="1" s="1" a="1"/>
  <c r="AW210" i="1" s="1"/>
  <c r="AW211" i="1" s="1" a="1"/>
  <c r="AW211" i="1" s="1"/>
  <c r="AY208" i="1"/>
  <c r="AY210" i="1" s="1" a="1"/>
  <c r="AY210" i="1" s="1"/>
  <c r="AY211" i="1" s="1" a="1"/>
  <c r="AY211" i="1" s="1"/>
  <c r="AU208" i="1"/>
  <c r="AU210" i="1" s="1" a="1"/>
  <c r="AU210" i="1" s="1"/>
  <c r="AU211" i="1" s="1" a="1"/>
  <c r="AU211" i="1" s="1"/>
  <c r="AX208" i="1"/>
  <c r="AX210" i="1" s="1" a="1"/>
  <c r="AX210" i="1" s="1"/>
  <c r="AX211" i="1" s="1" a="1"/>
  <c r="AX211" i="1" s="1"/>
  <c r="AT208" i="1"/>
  <c r="AO58" i="1"/>
  <c r="AW213" i="1" l="1" a="1"/>
  <c r="AW213" i="1" s="1"/>
  <c r="AV213" i="1" a="1"/>
  <c r="AV213" i="1" s="1"/>
  <c r="AY213" i="1" a="1"/>
  <c r="AY213" i="1" s="1"/>
  <c r="AX213" i="1" a="1"/>
  <c r="AX213" i="1" s="1"/>
  <c r="AU213" i="1" a="1"/>
  <c r="AU213" i="1" s="1"/>
  <c r="AT210" i="1"/>
  <c r="G5" i="1"/>
  <c r="AT211" i="1" l="1" a="1"/>
  <c r="AT211" i="1" s="1"/>
  <c r="AO120" i="1"/>
  <c r="AO132" i="1"/>
  <c r="AO124" i="1"/>
  <c r="AO128" i="1"/>
  <c r="AO136" i="1"/>
  <c r="R5" i="8"/>
  <c r="R6" i="8"/>
  <c r="R7" i="8"/>
  <c r="R8" i="8"/>
  <c r="R9" i="8"/>
  <c r="R10" i="8"/>
  <c r="R11" i="8"/>
  <c r="R12" i="8"/>
  <c r="R13" i="8"/>
  <c r="E4" i="8"/>
  <c r="P4" i="8" s="1"/>
  <c r="R4" i="8"/>
  <c r="E5" i="8"/>
  <c r="P5" i="8" s="1"/>
  <c r="E6" i="8"/>
  <c r="P6" i="8" s="1"/>
  <c r="E7" i="8"/>
  <c r="P7" i="8" s="1"/>
  <c r="E8" i="8"/>
  <c r="P8" i="8" s="1"/>
  <c r="E9" i="8"/>
  <c r="P9" i="8" s="1"/>
  <c r="E10" i="8"/>
  <c r="P10" i="8" s="1"/>
  <c r="E11" i="8"/>
  <c r="P11" i="8" s="1"/>
  <c r="E12" i="8"/>
  <c r="P12" i="8" s="1"/>
  <c r="E13" i="8"/>
  <c r="P13" i="8" s="1"/>
  <c r="H5" i="8"/>
  <c r="M5" i="8" s="1"/>
  <c r="H6" i="8"/>
  <c r="M6" i="8" s="1"/>
  <c r="H7" i="8"/>
  <c r="M7" i="8" s="1"/>
  <c r="H8" i="8"/>
  <c r="M8" i="8" s="1"/>
  <c r="H9" i="8"/>
  <c r="M9" i="8" s="1"/>
  <c r="H10" i="8"/>
  <c r="M10" i="8" s="1"/>
  <c r="H11" i="8"/>
  <c r="M11" i="8" s="1"/>
  <c r="H12" i="8"/>
  <c r="M12" i="8" s="1"/>
  <c r="H13" i="8"/>
  <c r="M13" i="8" s="1"/>
  <c r="O5" i="8"/>
  <c r="O6" i="8"/>
  <c r="O7" i="8"/>
  <c r="O8" i="8"/>
  <c r="O9" i="8"/>
  <c r="O10" i="8"/>
  <c r="O11" i="8"/>
  <c r="O12" i="8"/>
  <c r="O13" i="8"/>
  <c r="T4" i="8" l="1"/>
  <c r="T10" i="8"/>
  <c r="T5" i="8"/>
  <c r="T13" i="8"/>
  <c r="T12" i="8"/>
  <c r="T11" i="8"/>
  <c r="T9" i="8"/>
  <c r="T7" i="8"/>
  <c r="T8" i="8"/>
  <c r="T6" i="8"/>
  <c r="U19" i="6"/>
  <c r="P19" i="6"/>
  <c r="K19" i="6"/>
  <c r="U18" i="6"/>
  <c r="P18" i="6"/>
  <c r="K18" i="6"/>
  <c r="U24" i="6"/>
  <c r="P24" i="6"/>
  <c r="K24" i="6"/>
  <c r="U23" i="6"/>
  <c r="P23" i="6"/>
  <c r="K23" i="6"/>
  <c r="U22" i="6"/>
  <c r="P22" i="6"/>
  <c r="K22" i="6"/>
  <c r="C130" i="1"/>
  <c r="BI23" i="6" l="1"/>
  <c r="BI22" i="6"/>
  <c r="BI18" i="6"/>
  <c r="BI19" i="6"/>
  <c r="BI24" i="6"/>
  <c r="U21" i="6"/>
  <c r="P21" i="6"/>
  <c r="K21" i="6"/>
  <c r="K17" i="6"/>
  <c r="T15" i="8"/>
  <c r="U17" i="6"/>
  <c r="P17" i="6"/>
  <c r="BI21" i="6" l="1"/>
  <c r="BI17" i="6"/>
  <c r="AO193" i="1"/>
  <c r="AO192" i="1"/>
  <c r="AO189" i="1" l="1"/>
  <c r="AR168" i="1"/>
  <c r="AZ168" i="1" s="1"/>
  <c r="AQ159" i="1"/>
  <c r="AR159" i="1"/>
  <c r="AZ159" i="1" l="1"/>
  <c r="AE29" i="1"/>
  <c r="AE30" i="1"/>
  <c r="AF29" i="1"/>
  <c r="AF30" i="1"/>
  <c r="AE31" i="1" l="1"/>
  <c r="AF31" i="1"/>
  <c r="AG140" i="1" a="1"/>
  <c r="AG140" i="1" s="1"/>
  <c r="AH140" i="1" a="1"/>
  <c r="AH140" i="1" s="1"/>
  <c r="AD150" i="1"/>
  <c r="AE140" i="1" a="1"/>
  <c r="AE140" i="1" s="1"/>
  <c r="AF140" i="1" a="1"/>
  <c r="AF140" i="1" s="1"/>
  <c r="AF150" i="1" s="1"/>
  <c r="B121" i="1"/>
  <c r="C140" i="1"/>
  <c r="B126" i="1"/>
  <c r="B125" i="1"/>
  <c r="B122" i="1"/>
  <c r="B130" i="1"/>
  <c r="B129" i="1"/>
  <c r="B134" i="1"/>
  <c r="B133" i="1"/>
  <c r="C133" i="1"/>
  <c r="C129" i="1"/>
  <c r="C125" i="1"/>
  <c r="C121" i="1"/>
  <c r="B112" i="1"/>
  <c r="B113" i="1"/>
  <c r="C117" i="1"/>
  <c r="C113" i="1"/>
  <c r="F47" i="1"/>
  <c r="F48" i="1"/>
  <c r="F49" i="1"/>
  <c r="F50" i="1"/>
  <c r="F51" i="1"/>
  <c r="F52" i="1"/>
  <c r="F53" i="1"/>
  <c r="AE150" i="1" l="1"/>
  <c r="P15" i="6" s="1"/>
  <c r="AN140" i="1"/>
  <c r="AD131" i="1" a="1"/>
  <c r="AD131" i="1" s="1"/>
  <c r="AM131" i="1" a="1"/>
  <c r="AM131" i="1" s="1"/>
  <c r="AK131" i="1" a="1"/>
  <c r="AK131" i="1" s="1"/>
  <c r="AL131" i="1" a="1"/>
  <c r="AL131" i="1" s="1"/>
  <c r="AI131" i="1" a="1"/>
  <c r="AI131" i="1" s="1"/>
  <c r="AJ131" i="1" a="1"/>
  <c r="AJ131" i="1" s="1"/>
  <c r="AD135" i="1" a="1"/>
  <c r="AD135" i="1" s="1"/>
  <c r="AI135" i="1" a="1"/>
  <c r="AI135" i="1" s="1"/>
  <c r="AM135" i="1" a="1"/>
  <c r="AM135" i="1" s="1"/>
  <c r="AL135" i="1" a="1"/>
  <c r="AL135" i="1" s="1"/>
  <c r="AJ135" i="1" a="1"/>
  <c r="AJ135" i="1" s="1"/>
  <c r="AK135" i="1" a="1"/>
  <c r="AK135" i="1" s="1"/>
  <c r="AD123" i="1" a="1"/>
  <c r="AD123" i="1" s="1"/>
  <c r="AM123" i="1" a="1"/>
  <c r="AM123" i="1" s="1"/>
  <c r="AI123" i="1" a="1"/>
  <c r="AI123" i="1" s="1"/>
  <c r="AK123" i="1" a="1"/>
  <c r="AK123" i="1" s="1"/>
  <c r="AL123" i="1" a="1"/>
  <c r="AL123" i="1" s="1"/>
  <c r="AJ123" i="1" a="1"/>
  <c r="AJ123" i="1" s="1"/>
  <c r="AD127" i="1" a="1"/>
  <c r="AD127" i="1" s="1"/>
  <c r="AL127" i="1" a="1"/>
  <c r="AL127" i="1" s="1"/>
  <c r="AK127" i="1" a="1"/>
  <c r="AK127" i="1" s="1"/>
  <c r="AJ127" i="1" a="1"/>
  <c r="AJ127" i="1" s="1"/>
  <c r="AI127" i="1" a="1"/>
  <c r="AI127" i="1" s="1"/>
  <c r="AM127" i="1" a="1"/>
  <c r="AM127" i="1" s="1"/>
  <c r="AJ50" i="1"/>
  <c r="AM50" i="1"/>
  <c r="AK50" i="1"/>
  <c r="AL50" i="1"/>
  <c r="AI50" i="1"/>
  <c r="AM49" i="1"/>
  <c r="AI49" i="1"/>
  <c r="AJ49" i="1"/>
  <c r="AK49" i="1"/>
  <c r="AL49" i="1"/>
  <c r="AK48" i="1"/>
  <c r="AI48" i="1"/>
  <c r="AJ48" i="1"/>
  <c r="AM48" i="1"/>
  <c r="AL48" i="1"/>
  <c r="AK47" i="1"/>
  <c r="AL47" i="1"/>
  <c r="AM47" i="1"/>
  <c r="AJ47" i="1"/>
  <c r="AI47" i="1"/>
  <c r="AI53" i="1"/>
  <c r="AJ53" i="1"/>
  <c r="AM53" i="1"/>
  <c r="AK53" i="1"/>
  <c r="AL53" i="1"/>
  <c r="AL52" i="1"/>
  <c r="AM52" i="1"/>
  <c r="AI52" i="1"/>
  <c r="AJ52" i="1"/>
  <c r="AK52" i="1"/>
  <c r="AJ51" i="1"/>
  <c r="AI51" i="1"/>
  <c r="AK51" i="1"/>
  <c r="AL51" i="1"/>
  <c r="AM51" i="1"/>
  <c r="AH131" i="1" a="1"/>
  <c r="AH131" i="1" s="1"/>
  <c r="AG131" i="1" a="1"/>
  <c r="AG131" i="1" s="1"/>
  <c r="AF131" i="1" a="1"/>
  <c r="AF131" i="1" s="1"/>
  <c r="AE131" i="1" a="1"/>
  <c r="AE131" i="1" s="1"/>
  <c r="AH150" i="1"/>
  <c r="AE15" i="6" s="1"/>
  <c r="AG150" i="1"/>
  <c r="Z15" i="6" s="1"/>
  <c r="AR113" i="1"/>
  <c r="T50" i="9" s="1"/>
  <c r="AG135" i="1" a="1"/>
  <c r="AG135" i="1" s="1"/>
  <c r="AH135" i="1" a="1"/>
  <c r="AH135" i="1" s="1"/>
  <c r="AN150" i="1"/>
  <c r="K15" i="6"/>
  <c r="AH119" i="1" a="1"/>
  <c r="AH119" i="1" s="1"/>
  <c r="AG119" i="1" a="1"/>
  <c r="AG119" i="1" s="1"/>
  <c r="AH127" i="1" a="1"/>
  <c r="AH127" i="1" s="1"/>
  <c r="AG127" i="1" a="1"/>
  <c r="AG127" i="1" s="1"/>
  <c r="AH123" i="1" a="1"/>
  <c r="AH123" i="1" s="1"/>
  <c r="AG123" i="1" a="1"/>
  <c r="AG123" i="1" s="1"/>
  <c r="AG51" i="1"/>
  <c r="AH51" i="1"/>
  <c r="AG50" i="1"/>
  <c r="AH50" i="1"/>
  <c r="AH49" i="1"/>
  <c r="AG49" i="1"/>
  <c r="AG48" i="1"/>
  <c r="AH48" i="1"/>
  <c r="AH47" i="1"/>
  <c r="AG47" i="1"/>
  <c r="AG53" i="1"/>
  <c r="AH53" i="1"/>
  <c r="AH52" i="1"/>
  <c r="AG52" i="1"/>
  <c r="AF135" i="1" a="1"/>
  <c r="AF135" i="1" s="1"/>
  <c r="AE135" i="1" a="1"/>
  <c r="AE135" i="1" s="1"/>
  <c r="AE123" i="1" a="1"/>
  <c r="AE123" i="1" s="1"/>
  <c r="AF123" i="1" a="1"/>
  <c r="AF123" i="1" s="1"/>
  <c r="AF119" i="1" a="1"/>
  <c r="AF119" i="1" s="1"/>
  <c r="AE119" i="1" a="1"/>
  <c r="AE119" i="1" s="1"/>
  <c r="AF127" i="1" a="1"/>
  <c r="AF127" i="1" s="1"/>
  <c r="AE127" i="1" a="1"/>
  <c r="AE127" i="1" s="1"/>
  <c r="AF130" i="1"/>
  <c r="F63" i="9" s="1"/>
  <c r="AE130" i="1"/>
  <c r="E63" i="9" s="1"/>
  <c r="AF122" i="1"/>
  <c r="F59" i="9" s="1"/>
  <c r="AE122" i="1"/>
  <c r="E59" i="9" s="1"/>
  <c r="AF134" i="1"/>
  <c r="F65" i="9" s="1"/>
  <c r="AE134" i="1"/>
  <c r="E65" i="9" s="1"/>
  <c r="AE126" i="1"/>
  <c r="E61" i="9" s="1"/>
  <c r="AF126" i="1"/>
  <c r="F61" i="9" s="1"/>
  <c r="U15" i="6"/>
  <c r="AO154" i="1"/>
  <c r="AF48" i="1"/>
  <c r="AE48" i="1"/>
  <c r="AF47" i="1"/>
  <c r="AE47" i="1"/>
  <c r="AF53" i="1"/>
  <c r="AE53" i="1"/>
  <c r="AF52" i="1"/>
  <c r="AE52" i="1"/>
  <c r="AF49" i="1"/>
  <c r="AE49" i="1"/>
  <c r="AE51" i="1"/>
  <c r="AF51" i="1"/>
  <c r="AF50" i="1"/>
  <c r="AE50" i="1"/>
  <c r="AD122" i="1"/>
  <c r="D59" i="9" s="1"/>
  <c r="AQ113" i="1"/>
  <c r="S50" i="9" s="1"/>
  <c r="AP113" i="1"/>
  <c r="R50" i="9" s="1"/>
  <c r="AP112" i="1"/>
  <c r="R49" i="9" s="1"/>
  <c r="AQ112" i="1"/>
  <c r="S49" i="9" s="1"/>
  <c r="AR112" i="1"/>
  <c r="T49" i="9" s="1"/>
  <c r="AD126" i="1"/>
  <c r="D61" i="9" s="1"/>
  <c r="AD129" i="1"/>
  <c r="D62" i="9" s="1"/>
  <c r="AD130" i="1"/>
  <c r="D63" i="9" s="1"/>
  <c r="AD134" i="1"/>
  <c r="D65" i="9" s="1"/>
  <c r="AD133" i="1"/>
  <c r="D64" i="9" s="1"/>
  <c r="AD53" i="1"/>
  <c r="AD52" i="1"/>
  <c r="AZ113" i="1" l="1"/>
  <c r="AZ112" i="1"/>
  <c r="BI15" i="6"/>
  <c r="AK137" i="1"/>
  <c r="AL137" i="1"/>
  <c r="AI137" i="1"/>
  <c r="AM137" i="1"/>
  <c r="N61" i="9"/>
  <c r="AJ137" i="1"/>
  <c r="AL109" i="1"/>
  <c r="L46" i="9" s="1"/>
  <c r="AK113" i="1"/>
  <c r="K50" i="9" s="1"/>
  <c r="AJ109" i="1"/>
  <c r="J46" i="9" s="1"/>
  <c r="AM113" i="1"/>
  <c r="M50" i="9" s="1"/>
  <c r="AI109" i="1"/>
  <c r="I46" i="9" s="1"/>
  <c r="AK112" i="1"/>
  <c r="K49" i="9" s="1"/>
  <c r="AJ112" i="1"/>
  <c r="J49" i="9" s="1"/>
  <c r="AI113" i="1"/>
  <c r="I50" i="9" s="1"/>
  <c r="AJ108" i="1"/>
  <c r="J45" i="9" s="1"/>
  <c r="AI110" i="1"/>
  <c r="I47" i="9" s="1"/>
  <c r="AL111" i="1"/>
  <c r="L48" i="9" s="1"/>
  <c r="AL112" i="1"/>
  <c r="L49" i="9" s="1"/>
  <c r="AM110" i="1"/>
  <c r="M47" i="9" s="1"/>
  <c r="AK111" i="1"/>
  <c r="K48" i="9" s="1"/>
  <c r="AL107" i="1"/>
  <c r="L44" i="9" s="1"/>
  <c r="AK109" i="1"/>
  <c r="K46" i="9" s="1"/>
  <c r="AJ110" i="1"/>
  <c r="J47" i="9" s="1"/>
  <c r="AI111" i="1"/>
  <c r="I48" i="9" s="1"/>
  <c r="AN53" i="1"/>
  <c r="AJ111" i="1"/>
  <c r="J48" i="9" s="1"/>
  <c r="AL108" i="1"/>
  <c r="L45" i="9" s="1"/>
  <c r="AM108" i="1"/>
  <c r="M45" i="9" s="1"/>
  <c r="AI112" i="1"/>
  <c r="I49" i="9" s="1"/>
  <c r="AI107" i="1"/>
  <c r="I44" i="9" s="1"/>
  <c r="AI108" i="1"/>
  <c r="I45" i="9" s="1"/>
  <c r="AL110" i="1"/>
  <c r="L47" i="9" s="1"/>
  <c r="AM107" i="1"/>
  <c r="AL113" i="1"/>
  <c r="L50" i="9" s="1"/>
  <c r="AN52" i="1"/>
  <c r="AJ113" i="1"/>
  <c r="J50" i="9" s="1"/>
  <c r="AM109" i="1"/>
  <c r="M46" i="9" s="1"/>
  <c r="AM111" i="1"/>
  <c r="M48" i="9" s="1"/>
  <c r="AM112" i="1"/>
  <c r="M49" i="9" s="1"/>
  <c r="AJ107" i="1"/>
  <c r="J44" i="9" s="1"/>
  <c r="AK108" i="1"/>
  <c r="K45" i="9" s="1"/>
  <c r="AK110" i="1"/>
  <c r="K47" i="9" s="1"/>
  <c r="N63" i="9"/>
  <c r="N59" i="9"/>
  <c r="N65" i="9"/>
  <c r="AK107" i="1"/>
  <c r="AG107" i="1"/>
  <c r="G44" i="9" s="1"/>
  <c r="AH107" i="1"/>
  <c r="H44" i="9" s="1"/>
  <c r="AG111" i="1"/>
  <c r="G48" i="9" s="1"/>
  <c r="AF107" i="1"/>
  <c r="F44" i="9" s="1"/>
  <c r="AG110" i="1"/>
  <c r="G47" i="9" s="1"/>
  <c r="AE109" i="1"/>
  <c r="E46" i="9" s="1"/>
  <c r="AE108" i="1"/>
  <c r="E45" i="9" s="1"/>
  <c r="AH111" i="1"/>
  <c r="H48" i="9" s="1"/>
  <c r="AF108" i="1"/>
  <c r="F45" i="9" s="1"/>
  <c r="AE112" i="1"/>
  <c r="E49" i="9" s="1"/>
  <c r="AH108" i="1"/>
  <c r="H45" i="9" s="1"/>
  <c r="AG108" i="1"/>
  <c r="G45" i="9" s="1"/>
  <c r="AG109" i="1"/>
  <c r="G46" i="9" s="1"/>
  <c r="AH112" i="1"/>
  <c r="H49" i="9" s="1"/>
  <c r="AH109" i="1"/>
  <c r="H46" i="9" s="1"/>
  <c r="AF112" i="1"/>
  <c r="F49" i="9" s="1"/>
  <c r="AE113" i="1"/>
  <c r="E50" i="9" s="1"/>
  <c r="AG112" i="1"/>
  <c r="G49" i="9" s="1"/>
  <c r="AF113" i="1"/>
  <c r="F50" i="9" s="1"/>
  <c r="AE107" i="1"/>
  <c r="E44" i="9" s="1"/>
  <c r="AH113" i="1"/>
  <c r="H50" i="9" s="1"/>
  <c r="AH110" i="1"/>
  <c r="H47" i="9" s="1"/>
  <c r="AG113" i="1"/>
  <c r="G50" i="9" s="1"/>
  <c r="AG137" i="1"/>
  <c r="AB50" i="9"/>
  <c r="AH137" i="1"/>
  <c r="AB49" i="9"/>
  <c r="AN126" i="1"/>
  <c r="AN122" i="1"/>
  <c r="AN123" i="1"/>
  <c r="AN134" i="1"/>
  <c r="AN130" i="1"/>
  <c r="AN131" i="1"/>
  <c r="AN135" i="1"/>
  <c r="AN127" i="1"/>
  <c r="AN119" i="1"/>
  <c r="AQ130" i="1"/>
  <c r="S63" i="9" s="1"/>
  <c r="AR121" i="1"/>
  <c r="T58" i="9" s="1"/>
  <c r="AQ125" i="1"/>
  <c r="S60" i="9" s="1"/>
  <c r="AQ126" i="1"/>
  <c r="S61" i="9" s="1"/>
  <c r="AR125" i="1"/>
  <c r="T60" i="9" s="1"/>
  <c r="AQ134" i="1"/>
  <c r="S65" i="9" s="1"/>
  <c r="AR129" i="1"/>
  <c r="T62" i="9" s="1"/>
  <c r="AR130" i="1"/>
  <c r="T63" i="9" s="1"/>
  <c r="AR133" i="1"/>
  <c r="T64" i="9" s="1"/>
  <c r="AQ122" i="1"/>
  <c r="S59" i="9" s="1"/>
  <c r="AQ133" i="1"/>
  <c r="S64" i="9" s="1"/>
  <c r="AR122" i="1"/>
  <c r="T59" i="9" s="1"/>
  <c r="AQ121" i="1"/>
  <c r="S58" i="9" s="1"/>
  <c r="AR134" i="1"/>
  <c r="T65" i="9" s="1"/>
  <c r="AR126" i="1"/>
  <c r="T61" i="9" s="1"/>
  <c r="AQ129" i="1"/>
  <c r="S62" i="9" s="1"/>
  <c r="AF129" i="1"/>
  <c r="F62" i="9" s="1"/>
  <c r="AE125" i="1"/>
  <c r="E60" i="9" s="1"/>
  <c r="AE129" i="1"/>
  <c r="E62" i="9" s="1"/>
  <c r="AF121" i="1"/>
  <c r="F58" i="9" s="1"/>
  <c r="AF133" i="1"/>
  <c r="F64" i="9" s="1"/>
  <c r="AE133" i="1"/>
  <c r="E64" i="9" s="1"/>
  <c r="AE121" i="1"/>
  <c r="E58" i="9" s="1"/>
  <c r="AF125" i="1"/>
  <c r="F60" i="9" s="1"/>
  <c r="AP133" i="1"/>
  <c r="AP125" i="1"/>
  <c r="AP121" i="1"/>
  <c r="AP122" i="1"/>
  <c r="AP130" i="1"/>
  <c r="AP134" i="1"/>
  <c r="AP126" i="1"/>
  <c r="AP129" i="1"/>
  <c r="AO146" i="1"/>
  <c r="AO140" i="1"/>
  <c r="AO148" i="1"/>
  <c r="AO142" i="1"/>
  <c r="AD112" i="1"/>
  <c r="AD113" i="1"/>
  <c r="AD48" i="1"/>
  <c r="AN48" i="1" s="1"/>
  <c r="R59" i="9" l="1"/>
  <c r="AZ122" i="1"/>
  <c r="R58" i="9"/>
  <c r="AB58" i="9" s="1"/>
  <c r="AZ121" i="1"/>
  <c r="R64" i="9"/>
  <c r="AB64" i="9" s="1"/>
  <c r="AZ133" i="1"/>
  <c r="R60" i="9"/>
  <c r="AB60" i="9" s="1"/>
  <c r="AZ125" i="1"/>
  <c r="R62" i="9"/>
  <c r="AB62" i="9" s="1"/>
  <c r="AZ129" i="1"/>
  <c r="R61" i="9"/>
  <c r="AB61" i="9" s="1"/>
  <c r="AZ126" i="1"/>
  <c r="R65" i="9"/>
  <c r="AB65" i="9" s="1"/>
  <c r="AZ134" i="1"/>
  <c r="AO134" i="1" s="1"/>
  <c r="R63" i="9"/>
  <c r="AB63" i="9" s="1"/>
  <c r="AZ130" i="1"/>
  <c r="AO130" i="1" s="1"/>
  <c r="AN112" i="1"/>
  <c r="D50" i="9"/>
  <c r="N50" i="9" s="1"/>
  <c r="AN113" i="1"/>
  <c r="N62" i="9"/>
  <c r="AB59" i="9"/>
  <c r="M44" i="9"/>
  <c r="K44" i="9"/>
  <c r="N64" i="9"/>
  <c r="D49" i="9"/>
  <c r="N49" i="9" s="1"/>
  <c r="AO48" i="1"/>
  <c r="AD108" i="1"/>
  <c r="AO126" i="1"/>
  <c r="AO122" i="1"/>
  <c r="AN133" i="1"/>
  <c r="AN129" i="1"/>
  <c r="AO127" i="1"/>
  <c r="AO135" i="1"/>
  <c r="AO131" i="1"/>
  <c r="AO123" i="1"/>
  <c r="AO144" i="1"/>
  <c r="AO53" i="1"/>
  <c r="AO52" i="1"/>
  <c r="AN108" i="1" l="1"/>
  <c r="AO108" i="1" s="1"/>
  <c r="D45" i="9"/>
  <c r="N45" i="9" s="1"/>
  <c r="AO129" i="1"/>
  <c r="AO133" i="1"/>
  <c r="AD121" i="1" l="1"/>
  <c r="AN121" i="1" l="1"/>
  <c r="AO121" i="1" s="1"/>
  <c r="D58" i="9"/>
  <c r="N58" i="9" s="1"/>
  <c r="AD117" i="1"/>
  <c r="D56" i="9" s="1"/>
  <c r="AD125" i="1"/>
  <c r="D60" i="9" s="1"/>
  <c r="N60" i="9" s="1"/>
  <c r="B109" i="1"/>
  <c r="B110" i="1"/>
  <c r="B111" i="1"/>
  <c r="B94" i="1"/>
  <c r="AO165" i="1"/>
  <c r="AO162" i="1"/>
  <c r="AP110" i="1"/>
  <c r="R47" i="9" s="1"/>
  <c r="AR111" i="1"/>
  <c r="T48" i="9" s="1"/>
  <c r="F34" i="1"/>
  <c r="AI34" i="1" l="1"/>
  <c r="AJ34" i="1"/>
  <c r="AK34" i="1"/>
  <c r="AL34" i="1"/>
  <c r="AM34" i="1"/>
  <c r="AN125" i="1"/>
  <c r="AO125" i="1" s="1"/>
  <c r="AH34" i="1"/>
  <c r="AG34" i="1"/>
  <c r="AD71" i="1"/>
  <c r="AP117" i="1"/>
  <c r="AR117" i="1"/>
  <c r="T56" i="9" s="1"/>
  <c r="AQ117" i="1"/>
  <c r="S56" i="9" s="1"/>
  <c r="AF118" i="1"/>
  <c r="F57" i="9" s="1"/>
  <c r="AE118" i="1"/>
  <c r="E57" i="9" s="1"/>
  <c r="AO157" i="1"/>
  <c r="AO158" i="1"/>
  <c r="AO156" i="1"/>
  <c r="AO155" i="1"/>
  <c r="AO195" i="1"/>
  <c r="AR118" i="1"/>
  <c r="T57" i="9" s="1"/>
  <c r="AQ118" i="1"/>
  <c r="S57" i="9" s="1"/>
  <c r="AE34" i="1"/>
  <c r="AF34" i="1"/>
  <c r="AD118" i="1"/>
  <c r="AP176" i="1"/>
  <c r="AQ176" i="1"/>
  <c r="AR176" i="1"/>
  <c r="AP111" i="1"/>
  <c r="R48" i="9" s="1"/>
  <c r="AQ111" i="1"/>
  <c r="S48" i="9" s="1"/>
  <c r="AQ110" i="1"/>
  <c r="S47" i="9" s="1"/>
  <c r="AR110" i="1"/>
  <c r="T47" i="9" s="1"/>
  <c r="AP109" i="1"/>
  <c r="R46" i="9" s="1"/>
  <c r="R51" i="9" s="1"/>
  <c r="AR109" i="1"/>
  <c r="T46" i="9" s="1"/>
  <c r="AQ109" i="1"/>
  <c r="S46" i="9" s="1"/>
  <c r="K20" i="6"/>
  <c r="T51" i="9" l="1"/>
  <c r="R56" i="9"/>
  <c r="AB56" i="9" s="1"/>
  <c r="AZ117" i="1"/>
  <c r="AZ110" i="1"/>
  <c r="AZ109" i="1"/>
  <c r="AB46" i="9" s="1"/>
  <c r="AZ111" i="1"/>
  <c r="AB48" i="9" s="1"/>
  <c r="D6" i="9"/>
  <c r="AM94" i="1"/>
  <c r="AM114" i="1" s="1"/>
  <c r="AM54" i="1"/>
  <c r="AL94" i="1"/>
  <c r="AL114" i="1" s="1"/>
  <c r="AL54" i="1"/>
  <c r="AK94" i="1"/>
  <c r="AK114" i="1" s="1"/>
  <c r="AK54" i="1"/>
  <c r="AJ94" i="1"/>
  <c r="AJ114" i="1" s="1"/>
  <c r="AJ54" i="1"/>
  <c r="AI94" i="1"/>
  <c r="AI114" i="1" s="1"/>
  <c r="AI54" i="1"/>
  <c r="T66" i="9"/>
  <c r="S66" i="9"/>
  <c r="AD137" i="1"/>
  <c r="D57" i="9"/>
  <c r="N57" i="9" s="1"/>
  <c r="AG54" i="1"/>
  <c r="AG68" i="1" s="1"/>
  <c r="AH54" i="1"/>
  <c r="AF54" i="1"/>
  <c r="AF68" i="1" s="1"/>
  <c r="U11" i="6" s="1"/>
  <c r="AE54" i="1"/>
  <c r="AE68" i="1" s="1"/>
  <c r="P11" i="6" s="1"/>
  <c r="AB47" i="9"/>
  <c r="AN176" i="1"/>
  <c r="AZ176" i="1"/>
  <c r="AQ137" i="1"/>
  <c r="AR137" i="1"/>
  <c r="AR114" i="1"/>
  <c r="AH94" i="1"/>
  <c r="AG94" i="1"/>
  <c r="AN118" i="1"/>
  <c r="AQ114" i="1"/>
  <c r="AP118" i="1"/>
  <c r="AZ118" i="1" s="1"/>
  <c r="AZ137" i="1" l="1"/>
  <c r="AJ14" i="6"/>
  <c r="AJ12" i="6" s="1"/>
  <c r="AI151" i="1"/>
  <c r="BD14" i="6"/>
  <c r="BD12" i="6" s="1"/>
  <c r="AM151" i="1"/>
  <c r="AO14" i="6"/>
  <c r="AJ151" i="1"/>
  <c r="AY14" i="6"/>
  <c r="AY12" i="6" s="1"/>
  <c r="AL151" i="1"/>
  <c r="AT14" i="6"/>
  <c r="AT12" i="6" s="1"/>
  <c r="AK151" i="1"/>
  <c r="I31" i="9"/>
  <c r="I51" i="9" s="1"/>
  <c r="K31" i="9"/>
  <c r="K51" i="9" s="1"/>
  <c r="J31" i="9"/>
  <c r="J51" i="9" s="1"/>
  <c r="L31" i="9"/>
  <c r="L51" i="9" s="1"/>
  <c r="M31" i="9"/>
  <c r="M51" i="9" s="1"/>
  <c r="Z11" i="6"/>
  <c r="Z9" i="6" s="1"/>
  <c r="AH68" i="1"/>
  <c r="AE11" i="6" s="1"/>
  <c r="AI68" i="1"/>
  <c r="AJ11" i="6" s="1"/>
  <c r="AJ68" i="1"/>
  <c r="AO11" i="6" s="1"/>
  <c r="AO9" i="6" s="1"/>
  <c r="AK68" i="1"/>
  <c r="AT11" i="6" s="1"/>
  <c r="AT9" i="6" s="1"/>
  <c r="AL68" i="1"/>
  <c r="AY11" i="6" s="1"/>
  <c r="AY9" i="6" s="1"/>
  <c r="AM68" i="1"/>
  <c r="BD11" i="6" s="1"/>
  <c r="BD9" i="6" s="1"/>
  <c r="R57" i="9"/>
  <c r="AB57" i="9" s="1"/>
  <c r="D66" i="9"/>
  <c r="S51" i="9"/>
  <c r="AB51" i="9" s="1"/>
  <c r="AG114" i="1"/>
  <c r="G31" i="9"/>
  <c r="G51" i="9" s="1"/>
  <c r="AH114" i="1"/>
  <c r="AE14" i="6" s="1"/>
  <c r="H31" i="9"/>
  <c r="H51" i="9" s="1"/>
  <c r="AQ151" i="1"/>
  <c r="AP137" i="1"/>
  <c r="AR151" i="1"/>
  <c r="AP114" i="1"/>
  <c r="AZ114" i="1"/>
  <c r="BD27" i="6" l="1"/>
  <c r="AZ151" i="1"/>
  <c r="AG151" i="1"/>
  <c r="AG208" i="1" s="1"/>
  <c r="Z14" i="6"/>
  <c r="Z12" i="6" s="1"/>
  <c r="Z27" i="6" s="1"/>
  <c r="AY27" i="6"/>
  <c r="AT27" i="6"/>
  <c r="AJ9" i="6"/>
  <c r="AE9" i="6"/>
  <c r="AH151" i="1"/>
  <c r="AH208" i="1" s="1"/>
  <c r="AL208" i="1"/>
  <c r="AM208" i="1"/>
  <c r="AI208" i="1"/>
  <c r="AJ208" i="1"/>
  <c r="AK208" i="1"/>
  <c r="AO118" i="1"/>
  <c r="R66" i="9"/>
  <c r="AB66" i="9" s="1"/>
  <c r="AE12" i="6"/>
  <c r="AP151" i="1"/>
  <c r="AE117" i="1"/>
  <c r="AE110" i="1"/>
  <c r="E47" i="9" s="1"/>
  <c r="AE111" i="1"/>
  <c r="E48" i="9" s="1"/>
  <c r="AF109" i="1"/>
  <c r="F46" i="9" s="1"/>
  <c r="AF110" i="1"/>
  <c r="F47" i="9" s="1"/>
  <c r="AF111" i="1"/>
  <c r="F48" i="9" s="1"/>
  <c r="B72" i="1"/>
  <c r="B73" i="1"/>
  <c r="B88" i="1"/>
  <c r="B89" i="1"/>
  <c r="B90" i="1"/>
  <c r="B71" i="1"/>
  <c r="AO179" i="1"/>
  <c r="D71" i="1"/>
  <c r="K25" i="6"/>
  <c r="C94" i="1"/>
  <c r="D90" i="1"/>
  <c r="D88" i="1"/>
  <c r="D72" i="1"/>
  <c r="D89" i="1"/>
  <c r="AJ27" i="6" l="1"/>
  <c r="AE27" i="6"/>
  <c r="AE137" i="1"/>
  <c r="E56" i="9"/>
  <c r="AF117" i="1"/>
  <c r="AQ91" i="1"/>
  <c r="AQ208" i="1" s="1"/>
  <c r="AQ210" i="1" s="1"/>
  <c r="AR91" i="1"/>
  <c r="AO171" i="1"/>
  <c r="AO168" i="1"/>
  <c r="AD51" i="1"/>
  <c r="AN51" i="1" s="1"/>
  <c r="AD50" i="1"/>
  <c r="AN50" i="1" s="1"/>
  <c r="AO113" i="1"/>
  <c r="AR208" i="1" l="1"/>
  <c r="AO12" i="6"/>
  <c r="AO27" i="6" s="1"/>
  <c r="E66" i="9"/>
  <c r="AF137" i="1"/>
  <c r="F56" i="9"/>
  <c r="F66" i="9" s="1"/>
  <c r="AN117" i="1"/>
  <c r="AD110" i="1"/>
  <c r="AO50" i="1"/>
  <c r="AD111" i="1"/>
  <c r="AO51" i="1"/>
  <c r="AP91" i="1"/>
  <c r="AP208" i="1" s="1"/>
  <c r="AP210" i="1" s="1"/>
  <c r="U16" i="6"/>
  <c r="K16" i="6"/>
  <c r="AP211" i="1" l="1" a="1"/>
  <c r="AP211" i="1" s="1"/>
  <c r="D48" i="9"/>
  <c r="N48" i="9" s="1"/>
  <c r="AN111" i="1"/>
  <c r="AO111" i="1" s="1"/>
  <c r="D47" i="9"/>
  <c r="N47" i="9" s="1"/>
  <c r="AN110" i="1"/>
  <c r="AO110" i="1" s="1"/>
  <c r="AR210" i="1"/>
  <c r="AZ210" i="1" s="1"/>
  <c r="N56" i="9"/>
  <c r="N66" i="9"/>
  <c r="AN137" i="1"/>
  <c r="AO137" i="1" s="1"/>
  <c r="AZ208" i="1"/>
  <c r="AO117" i="1"/>
  <c r="P16" i="6"/>
  <c r="BI16" i="6" s="1"/>
  <c r="AO112" i="1"/>
  <c r="AE72" i="1"/>
  <c r="E7" i="9" s="1"/>
  <c r="AF72" i="1"/>
  <c r="F7" i="9" s="1"/>
  <c r="AE73" i="1"/>
  <c r="E8" i="9" s="1"/>
  <c r="AF73" i="1"/>
  <c r="F8" i="9" s="1"/>
  <c r="AE88" i="1"/>
  <c r="E23" i="9" s="1"/>
  <c r="AF88" i="1"/>
  <c r="F23" i="9" s="1"/>
  <c r="AD29" i="1"/>
  <c r="AE89" i="1"/>
  <c r="E24" i="9" s="1"/>
  <c r="AF89" i="1"/>
  <c r="F24" i="9" s="1"/>
  <c r="AD30" i="1"/>
  <c r="AN30" i="1" s="1"/>
  <c r="AE90" i="1"/>
  <c r="E25" i="9" s="1"/>
  <c r="AF90" i="1"/>
  <c r="F25" i="9" s="1"/>
  <c r="AE71" i="1"/>
  <c r="AF71" i="1"/>
  <c r="F6" i="9" l="1"/>
  <c r="F26" i="9" s="1"/>
  <c r="AF91" i="1"/>
  <c r="E6" i="9"/>
  <c r="E26" i="9" s="1"/>
  <c r="AE91" i="1"/>
  <c r="P13" i="6" s="1"/>
  <c r="AN71" i="1"/>
  <c r="AN29" i="1"/>
  <c r="AN31" i="1" s="1"/>
  <c r="AD31" i="1"/>
  <c r="AO30" i="1"/>
  <c r="AD89" i="1"/>
  <c r="AN89" i="1" s="1"/>
  <c r="AD88" i="1"/>
  <c r="AN88" i="1" s="1"/>
  <c r="AD72" i="1"/>
  <c r="AD73" i="1"/>
  <c r="AN73" i="1" s="1"/>
  <c r="AD90" i="1"/>
  <c r="N6" i="9" l="1"/>
  <c r="D7" i="9"/>
  <c r="N7" i="9" s="1"/>
  <c r="AN72" i="1"/>
  <c r="AN90" i="1"/>
  <c r="AD91" i="1"/>
  <c r="K13" i="6" s="1"/>
  <c r="AO29" i="1"/>
  <c r="D25" i="9"/>
  <c r="N25" i="9" s="1"/>
  <c r="D23" i="9"/>
  <c r="N23" i="9" s="1"/>
  <c r="D24" i="9"/>
  <c r="N24" i="9" s="1"/>
  <c r="D8" i="9"/>
  <c r="N8" i="9" s="1"/>
  <c r="AO31" i="1"/>
  <c r="U10" i="6"/>
  <c r="U9" i="6" s="1"/>
  <c r="P10" i="6"/>
  <c r="P9" i="6" s="1"/>
  <c r="AO175" i="1"/>
  <c r="AO172" i="1"/>
  <c r="AO173" i="1"/>
  <c r="AO174" i="1"/>
  <c r="AO205" i="1"/>
  <c r="AO203" i="1"/>
  <c r="AO201" i="1"/>
  <c r="AO199" i="1"/>
  <c r="AO197" i="1"/>
  <c r="AO187" i="1"/>
  <c r="AO188" i="1"/>
  <c r="AO194" i="1"/>
  <c r="AO184" i="1"/>
  <c r="AO185" i="1"/>
  <c r="AO186" i="1"/>
  <c r="AN91" i="1" l="1"/>
  <c r="D26" i="9"/>
  <c r="N26" i="9" s="1"/>
  <c r="U20" i="6"/>
  <c r="P20" i="6"/>
  <c r="U25" i="6"/>
  <c r="P25" i="6"/>
  <c r="AE200" i="1"/>
  <c r="AE206" i="1"/>
  <c r="AD34" i="1"/>
  <c r="AD47" i="1"/>
  <c r="AN47" i="1" s="1"/>
  <c r="AD49" i="1"/>
  <c r="AN49" i="1" s="1"/>
  <c r="K10" i="6"/>
  <c r="BI10" i="6" s="1"/>
  <c r="AO159" i="1"/>
  <c r="AO207" i="1"/>
  <c r="U13" i="6"/>
  <c r="BI13" i="6" s="1"/>
  <c r="BI20" i="6" l="1"/>
  <c r="BI25" i="6"/>
  <c r="AN34" i="1"/>
  <c r="AN54" i="1" s="1"/>
  <c r="AN68" i="1" s="1"/>
  <c r="AD54" i="1"/>
  <c r="AD68" i="1" s="1"/>
  <c r="AD109" i="1"/>
  <c r="AD107" i="1"/>
  <c r="AF200" i="1"/>
  <c r="AF206" i="1"/>
  <c r="AO49" i="1"/>
  <c r="AO47" i="1"/>
  <c r="AD94" i="1"/>
  <c r="AO176" i="1"/>
  <c r="AO202" i="1"/>
  <c r="AE94" i="1"/>
  <c r="AF94" i="1"/>
  <c r="AN107" i="1" l="1"/>
  <c r="AO107" i="1" s="1"/>
  <c r="D46" i="9"/>
  <c r="N46" i="9" s="1"/>
  <c r="AN109" i="1"/>
  <c r="AO109" i="1" s="1"/>
  <c r="D31" i="9"/>
  <c r="AN94" i="1"/>
  <c r="AD114" i="1"/>
  <c r="AD151" i="1" s="1"/>
  <c r="AD208" i="1" s="1"/>
  <c r="D44" i="9"/>
  <c r="N44" i="9" s="1"/>
  <c r="AE114" i="1"/>
  <c r="AE151" i="1" s="1"/>
  <c r="AE208" i="1" s="1"/>
  <c r="AE210" i="1" s="1"/>
  <c r="AE211" i="1" s="1"/>
  <c r="E31" i="9"/>
  <c r="E51" i="9" s="1"/>
  <c r="AF114" i="1"/>
  <c r="AF151" i="1" s="1"/>
  <c r="AF208" i="1" s="1"/>
  <c r="AF210" i="1" s="1"/>
  <c r="F31" i="9"/>
  <c r="F51" i="9" s="1"/>
  <c r="AO68" i="1"/>
  <c r="AO34" i="1"/>
  <c r="K11" i="6"/>
  <c r="BI11" i="6" s="1"/>
  <c r="AO71" i="1"/>
  <c r="AO91" i="1"/>
  <c r="AG200" i="1"/>
  <c r="AG206" i="1"/>
  <c r="AH206" i="1" s="1"/>
  <c r="AO150" i="1"/>
  <c r="AO57" i="1"/>
  <c r="AO67" i="1"/>
  <c r="AO106" i="1"/>
  <c r="AO105" i="1"/>
  <c r="AN114" i="1" l="1"/>
  <c r="AN151" i="1" s="1"/>
  <c r="AI206" i="1"/>
  <c r="AD210" i="1"/>
  <c r="AN208" i="1"/>
  <c r="N31" i="9"/>
  <c r="AE213" i="1"/>
  <c r="AF211" i="1"/>
  <c r="AF213" i="1" s="1"/>
  <c r="D51" i="9"/>
  <c r="N51" i="9" s="1"/>
  <c r="AG210" i="1"/>
  <c r="K14" i="6"/>
  <c r="K9" i="6"/>
  <c r="BI9" i="6" s="1"/>
  <c r="AH200" i="1"/>
  <c r="AI200" i="1" s="1"/>
  <c r="AI210" i="1" s="1"/>
  <c r="AQ211" i="1" a="1"/>
  <c r="AQ211" i="1" s="1"/>
  <c r="AR211" i="1" a="1"/>
  <c r="AR211" i="1" s="1"/>
  <c r="U14" i="6"/>
  <c r="U12" i="6" s="1"/>
  <c r="U27" i="6" s="1"/>
  <c r="P14" i="6"/>
  <c r="P12" i="6" s="1"/>
  <c r="AO114" i="1"/>
  <c r="AO94" i="1"/>
  <c r="K12" i="6" l="1"/>
  <c r="BI12" i="6" s="1"/>
  <c r="BI27" i="6" s="1"/>
  <c r="BI14" i="6"/>
  <c r="AI211" i="1"/>
  <c r="AJ28" i="6"/>
  <c r="P27" i="6"/>
  <c r="AJ200" i="1" a="1"/>
  <c r="AJ200" i="1" s="1"/>
  <c r="AK200" i="1" s="1" a="1"/>
  <c r="AK200" i="1" s="1"/>
  <c r="AH210" i="1"/>
  <c r="AJ206" i="1" a="1"/>
  <c r="AJ206" i="1" s="1"/>
  <c r="AK206" i="1" s="1" a="1"/>
  <c r="AK206" i="1" s="1"/>
  <c r="AD211" i="1"/>
  <c r="AR213" i="1"/>
  <c r="AQ213" i="1"/>
  <c r="AG211" i="1"/>
  <c r="AG213" i="1" s="1"/>
  <c r="AZ211" i="1"/>
  <c r="Z28" i="6"/>
  <c r="AO198" i="1"/>
  <c r="K27" i="6" l="1"/>
  <c r="AI213" i="1"/>
  <c r="AJ29" i="6"/>
  <c r="AK210" i="1"/>
  <c r="AL200" i="1" a="1"/>
  <c r="AL200" i="1" s="1"/>
  <c r="AM200" i="1" s="1" a="1"/>
  <c r="AM200" i="1" s="1"/>
  <c r="AJ210" i="1"/>
  <c r="AO28" i="6" s="1"/>
  <c r="AL206" i="1" a="1"/>
  <c r="AL206" i="1" s="1"/>
  <c r="AM206" i="1" s="1" a="1"/>
  <c r="AM206" i="1" s="1"/>
  <c r="AN206" i="1" s="1"/>
  <c r="AS213" i="1"/>
  <c r="Z33" i="6" s="1"/>
  <c r="AP213" i="1"/>
  <c r="K33" i="6" s="1"/>
  <c r="AE28" i="6"/>
  <c r="AH211" i="1"/>
  <c r="AD213" i="1"/>
  <c r="Z29" i="6"/>
  <c r="U28" i="6"/>
  <c r="U33" i="6"/>
  <c r="P28" i="6"/>
  <c r="P33" i="6"/>
  <c r="AK211" i="1" l="1"/>
  <c r="AT28" i="6"/>
  <c r="Z31" i="6"/>
  <c r="Z35" i="6" s="1"/>
  <c r="Z34" i="6" s="1"/>
  <c r="AN200" i="1"/>
  <c r="AM210" i="1"/>
  <c r="AJ211" i="1"/>
  <c r="AL210" i="1"/>
  <c r="AH213" i="1"/>
  <c r="AE29" i="6"/>
  <c r="AE31" i="6" s="1"/>
  <c r="U29" i="6"/>
  <c r="U31" i="6" s="1"/>
  <c r="P29" i="6"/>
  <c r="P31" i="6" s="1"/>
  <c r="AL211" i="1" l="1"/>
  <c r="AY28" i="6"/>
  <c r="AJ213" i="1"/>
  <c r="AO29" i="6"/>
  <c r="AO31" i="6" s="1"/>
  <c r="AM211" i="1"/>
  <c r="BD29" i="6" s="1"/>
  <c r="BD31" i="6" s="1"/>
  <c r="BD28" i="6"/>
  <c r="AK213" i="1"/>
  <c r="AT29" i="6"/>
  <c r="AT31" i="6" s="1"/>
  <c r="AJ33" i="6"/>
  <c r="AO33" i="6"/>
  <c r="BD33" i="6"/>
  <c r="AT33" i="6"/>
  <c r="AY33" i="6"/>
  <c r="AN210" i="1"/>
  <c r="AT213" i="1"/>
  <c r="AE33" i="6" s="1"/>
  <c r="AZ212" i="1"/>
  <c r="AZ213" i="1" s="1"/>
  <c r="U35" i="6"/>
  <c r="U34" i="6" s="1"/>
  <c r="P35" i="6"/>
  <c r="P34" i="6" s="1"/>
  <c r="AM213" i="1" l="1"/>
  <c r="AN211" i="1"/>
  <c r="AN213" i="1" s="1"/>
  <c r="AO35" i="6"/>
  <c r="AO34" i="6" s="1"/>
  <c r="AT35" i="6"/>
  <c r="AT34" i="6" s="1"/>
  <c r="BD35" i="6"/>
  <c r="BD34" i="6" s="1"/>
  <c r="AL213" i="1"/>
  <c r="AY29" i="6"/>
  <c r="AY31" i="6" s="1"/>
  <c r="AY35" i="6" s="1"/>
  <c r="AY34" i="6" s="1"/>
  <c r="BI33" i="6"/>
  <c r="AJ31" i="6"/>
  <c r="AO212" i="1"/>
  <c r="AE35" i="6"/>
  <c r="AE34" i="6" s="1"/>
  <c r="AO151" i="1"/>
  <c r="AO119" i="1"/>
  <c r="AJ35" i="6" l="1"/>
  <c r="AJ34" i="6" s="1"/>
  <c r="AO208" i="1"/>
  <c r="AO210" i="1" l="1"/>
  <c r="K28" i="6"/>
  <c r="BI28" i="6" s="1"/>
  <c r="K29" i="6" l="1"/>
  <c r="BI29" i="6" s="1"/>
  <c r="AO211" i="1"/>
  <c r="K31" i="6" l="1"/>
  <c r="BI31" i="6" s="1"/>
  <c r="BI35" i="6" s="1"/>
  <c r="BI34" i="6" s="1"/>
  <c r="AO213" i="1"/>
  <c r="K35" i="6" l="1"/>
  <c r="K34" i="6" s="1"/>
  <c r="AO66" i="1"/>
  <c r="AO60" i="1"/>
  <c r="AO63" i="1"/>
  <c r="AO61" i="1"/>
  <c r="AO59" i="1"/>
  <c r="AO62" i="1"/>
  <c r="AO64" i="1"/>
  <c r="AO65" i="1"/>
  <c r="AO72" i="1"/>
  <c r="AO89" i="1"/>
  <c r="AO73" i="1"/>
  <c r="AO88" i="1"/>
  <c r="AO90" i="1"/>
  <c r="AO206" i="1" l="1"/>
  <c r="AV68" i="1" a="1"/>
  <c r="AV68" i="1" s="1"/>
  <c r="AX68" i="1" a="1"/>
  <c r="AX68" i="1" s="1"/>
  <c r="AW68" i="1" a="1"/>
  <c r="AW68" i="1" s="1"/>
  <c r="AU68" i="1" a="1"/>
  <c r="AU68" i="1" s="1"/>
  <c r="AY68" i="1" a="1"/>
  <c r="AY68" i="1" s="1"/>
  <c r="AV204" i="1"/>
  <c r="AW200" i="1"/>
  <c r="AX200" i="1" l="1"/>
  <c r="AY200" i="1" s="1"/>
  <c r="AZ200" i="1" s="1"/>
  <c r="AO200" i="1" s="1"/>
  <c r="AW204" i="1"/>
  <c r="AX204" i="1" s="1"/>
  <c r="AY204" i="1" l="1"/>
  <c r="AZ204" i="1" s="1"/>
  <c r="AO204"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<sst xmlns="http://schemas.openxmlformats.org/spreadsheetml/2006/main" count="1048" uniqueCount="436">
  <si>
    <t>Northern Arizona University Office of Sponsored Project *NEW* Budget Template</t>
  </si>
  <si>
    <t>Start Here</t>
  </si>
  <si>
    <t>This tab has instructions about how to use the budget template.</t>
  </si>
  <si>
    <t xml:space="preserve"> It also includes a calculator for "person months" (i.e. effort) calculations</t>
  </si>
  <si>
    <t>Budget Details</t>
  </si>
  <si>
    <r>
      <t xml:space="preserve">If you are working with fewer years, </t>
    </r>
    <r>
      <rPr>
        <i/>
        <u/>
        <sz val="11"/>
        <rFont val="Aptos Black"/>
        <family val="2"/>
      </rPr>
      <t>do not delete any unused column + rows; just hide it</t>
    </r>
    <r>
      <rPr>
        <i/>
        <sz val="11"/>
        <rFont val="Aptos Black"/>
        <family val="2"/>
      </rPr>
      <t>.</t>
    </r>
    <r>
      <rPr>
        <i/>
        <sz val="11"/>
        <color rgb="FF7F7F7F"/>
        <rFont val="Aptos Black"/>
        <family val="2"/>
      </rPr>
      <t xml:space="preserve"> </t>
    </r>
  </si>
  <si>
    <t>Refrain from deleting cells as most cells are interconnected. If you do not need a particular cell, just hide it.</t>
  </si>
  <si>
    <t xml:space="preserve">Easy groupings have been created to hide categories that are not frequently used. </t>
  </si>
  <si>
    <t xml:space="preserve">Cumulative </t>
  </si>
  <si>
    <t xml:space="preserve">This tab shows you a complete summary of the budget. Use this tab to check and verify the overall cost of the budget. </t>
  </si>
  <si>
    <t>This will also include the total percentage of the COST SHARE totals from the requested budget</t>
  </si>
  <si>
    <t>Travel calculator</t>
  </si>
  <si>
    <t>This tab has a built in calculator to help calculate any travel for the project.</t>
  </si>
  <si>
    <t xml:space="preserve">It include links to the Travel policy as well as some frequently used rates. </t>
  </si>
  <si>
    <t>Rates</t>
  </si>
  <si>
    <t>This tab includes a few NAU rates which is linked to the Budget Details Page.</t>
  </si>
  <si>
    <t>This tab is hidden</t>
  </si>
  <si>
    <t>Summary of personnel costs</t>
  </si>
  <si>
    <t xml:space="preserve">This tab has a summary of the salay &amp; fringe totals for each personnel in the budget details. </t>
  </si>
  <si>
    <r>
      <t xml:space="preserve">like the budget details tab, it is separated into direct and cost share sections. </t>
    </r>
    <r>
      <rPr>
        <i/>
        <u/>
        <sz val="11"/>
        <color rgb="FF7F7F7F"/>
        <rFont val="Aptos Black"/>
        <family val="2"/>
      </rPr>
      <t>This tab is hidden</t>
    </r>
  </si>
  <si>
    <t>Understanding the formatted cells</t>
  </si>
  <si>
    <r>
      <t>Cells with *</t>
    </r>
    <r>
      <rPr>
        <b/>
        <i/>
        <sz val="11"/>
        <color rgb="FF7F7F7F"/>
        <rFont val="Aptos Display"/>
        <family val="2"/>
      </rPr>
      <t>Gold</t>
    </r>
    <r>
      <rPr>
        <i/>
        <sz val="11"/>
        <color rgb="FF7F7F7F"/>
        <rFont val="Aptos Display"/>
        <family val="2"/>
      </rPr>
      <t>*</t>
    </r>
  </si>
  <si>
    <t>background</t>
  </si>
  <si>
    <r>
      <t xml:space="preserve">are input cells. </t>
    </r>
    <r>
      <rPr>
        <b/>
        <i/>
        <sz val="11"/>
        <rFont val="Aptos Display"/>
        <family val="2"/>
      </rPr>
      <t xml:space="preserve">This is where you enter your data. </t>
    </r>
  </si>
  <si>
    <r>
      <t>Cells with *</t>
    </r>
    <r>
      <rPr>
        <b/>
        <i/>
        <sz val="11"/>
        <color rgb="FF7F7F7F"/>
        <rFont val="Aptos Display"/>
        <family val="2"/>
      </rPr>
      <t>Light Gray + Orange</t>
    </r>
    <r>
      <rPr>
        <i/>
        <sz val="11"/>
        <color rgb="FF7F7F7F"/>
        <rFont val="Aptos Display"/>
        <family val="2"/>
      </rPr>
      <t>*</t>
    </r>
  </si>
  <si>
    <t>background + wording</t>
  </si>
  <si>
    <r>
      <t xml:space="preserve">are cells with formulas which allow for automatic calculation. </t>
    </r>
    <r>
      <rPr>
        <i/>
        <sz val="11"/>
        <color rgb="FFFF0000"/>
        <rFont val="Aptos Display"/>
        <family val="2"/>
      </rPr>
      <t>Do not type anything in these cells</t>
    </r>
  </si>
  <si>
    <r>
      <t>Cells with *</t>
    </r>
    <r>
      <rPr>
        <b/>
        <i/>
        <sz val="11"/>
        <color rgb="FF7F7F7F"/>
        <rFont val="Aptos Display"/>
        <family val="2"/>
      </rPr>
      <t>Dark Red</t>
    </r>
    <r>
      <rPr>
        <i/>
        <sz val="11"/>
        <color rgb="FF7F7F7F"/>
        <rFont val="Aptos Display"/>
        <family val="2"/>
      </rPr>
      <t>*</t>
    </r>
  </si>
  <si>
    <t>words</t>
  </si>
  <si>
    <r>
      <t xml:space="preserve">Indicate a drop-down menu: </t>
    </r>
    <r>
      <rPr>
        <i/>
        <sz val="11"/>
        <color rgb="FFFF0000"/>
        <rFont val="Aptos Display"/>
        <family val="2"/>
      </rPr>
      <t xml:space="preserve">Do not type anything in these cells. </t>
    </r>
  </si>
  <si>
    <r>
      <t>Cells with *</t>
    </r>
    <r>
      <rPr>
        <b/>
        <i/>
        <sz val="11"/>
        <color rgb="FF7F7F7F"/>
        <rFont val="Aptos Display"/>
        <family val="2"/>
      </rPr>
      <t>White</t>
    </r>
    <r>
      <rPr>
        <i/>
        <sz val="11"/>
        <color rgb="FF7F7F7F"/>
        <rFont val="Aptos Display"/>
        <family val="2"/>
      </rPr>
      <t>*</t>
    </r>
  </si>
  <si>
    <t>background with  2 orange lines</t>
  </si>
  <si>
    <r>
      <t xml:space="preserve">are linked cells. The information in these cells will automatically populate.  </t>
    </r>
    <r>
      <rPr>
        <i/>
        <sz val="11"/>
        <color rgb="FFFF0000"/>
        <rFont val="Aptos Display"/>
        <family val="2"/>
      </rPr>
      <t>Do not type anything in these cells</t>
    </r>
  </si>
  <si>
    <r>
      <t>Cells with *</t>
    </r>
    <r>
      <rPr>
        <b/>
        <i/>
        <sz val="11"/>
        <color rgb="FF7F7F7F"/>
        <rFont val="Aptos Display"/>
        <family val="2"/>
      </rPr>
      <t>Dark Gray</t>
    </r>
    <r>
      <rPr>
        <i/>
        <sz val="11"/>
        <color rgb="FF7F7F7F"/>
        <rFont val="Aptos Display"/>
        <family val="2"/>
      </rPr>
      <t xml:space="preserve">* </t>
    </r>
  </si>
  <si>
    <r>
      <t xml:space="preserve">are output cells. This is where the total amounts will be reflected. </t>
    </r>
    <r>
      <rPr>
        <i/>
        <sz val="11"/>
        <color rgb="FFFF0000"/>
        <rFont val="Aptos Display"/>
        <family val="2"/>
      </rPr>
      <t>Do not type anything in these cells</t>
    </r>
  </si>
  <si>
    <t>Cells with *Light Blue text"</t>
  </si>
  <si>
    <t>Text</t>
  </si>
  <si>
    <t>are editable. You can add new information there. This is mostly in the 'Subreceipient' section and 'Other Direct Cost' section.</t>
  </si>
  <si>
    <t>Overriding formula(s)</t>
  </si>
  <si>
    <r>
      <t xml:space="preserve">Please refrain from overriding any formula in the budget template as this might </t>
    </r>
    <r>
      <rPr>
        <b/>
        <u/>
        <sz val="11"/>
        <color theme="0" tint="-0.499984740745262"/>
        <rFont val="Aptos"/>
        <family val="2"/>
      </rPr>
      <t>'break</t>
    </r>
    <r>
      <rPr>
        <b/>
        <sz val="11"/>
        <color theme="0" tint="-0.499984740745262"/>
        <rFont val="Aptos"/>
        <family val="2"/>
      </rPr>
      <t>' the budget.</t>
    </r>
  </si>
  <si>
    <t xml:space="preserve">If you are unsure about a particular calculation/formula, be sure to reach out to your Pre-award Administrator for help. </t>
  </si>
  <si>
    <t>e.g. If the you feel a formular in a cell is incorrect, reach out to your Pre-Award Administrator before making any changes</t>
  </si>
  <si>
    <t>IMPORTANT GENERAL INFORMATION</t>
  </si>
  <si>
    <t>Graduate Research Assistantship (GRA)</t>
  </si>
  <si>
    <t>Can be given to Masters or PHD student</t>
  </si>
  <si>
    <t xml:space="preserve">In order to award a full GRAship, the student will need to work 20 hours per week during the academic year (or .5 FTE, 4.385 person months, 760 hours). </t>
  </si>
  <si>
    <t xml:space="preserve">Full GRAship include salary, fringe, full tuition and health insurance benefits </t>
  </si>
  <si>
    <t xml:space="preserve">There are always unique cases with GRAs and awarding GRAship which can make budgeting a bit confusing so be sure to reach out to your Pre-Award Administrator for help. </t>
  </si>
  <si>
    <t>Indirect cost Calculation</t>
  </si>
  <si>
    <t>Modified Total Direct Costs (MTDC) vs. Total Direct Costs (TDC) base</t>
  </si>
  <si>
    <t>MTDC base</t>
  </si>
  <si>
    <t xml:space="preserve">consists of all salaries &amp; wages, fringe benefits, materials, supplies, service, travel and subgrants/subcontracts up to the first $25,000 of each subgrant/subcontract. </t>
  </si>
  <si>
    <t xml:space="preserve">excludes equipment, capital expenditures, charges of patient care, student tuition remission, rental costs of off-site facilities, scholarships and fellowships </t>
  </si>
  <si>
    <t>as well as the portion of each subgrant/subcontract in excess of $25,000</t>
  </si>
  <si>
    <t>TDC base</t>
  </si>
  <si>
    <t xml:space="preserve">includes all costs as direct cost to the project (including tuition remission, and all subcontract costs). </t>
  </si>
  <si>
    <t>There are no exclusions when using the TDC base for indirect cost calculation</t>
  </si>
  <si>
    <t>IMPORTANT</t>
  </si>
  <si>
    <t xml:space="preserve">If the indirect cost rate is limited by the sponsor to a rate lower than NAU's negotiated  rates, NAU prefers to use the TDC base for indirect cost calculations </t>
  </si>
  <si>
    <t xml:space="preserve">UNLESS otherwise specified by the sponsor. In that case, you can use the MTDC base for the indirect cost calculation. </t>
  </si>
  <si>
    <t xml:space="preserve">If you are confused by which base to use, kindly reach out to your Pre-Award Administrator for help. </t>
  </si>
  <si>
    <t>It is important to refrain from overriding any formula in the budget template as this might 'break' the budget.</t>
  </si>
  <si>
    <t xml:space="preserve"> If you are unsure about a particular calculation/formula, be sure to reach out to your Pre-award Administrator for help. </t>
  </si>
  <si>
    <t>Useful "Person Month" Calculator</t>
  </si>
  <si>
    <t xml:space="preserve">Important </t>
  </si>
  <si>
    <t xml:space="preserve">Use the calculator below to calculate the person month (i.e. effort) for each personnel. </t>
  </si>
  <si>
    <r>
      <t xml:space="preserve">This calculator can be used to calculate the 'effort' based on the total # of months </t>
    </r>
    <r>
      <rPr>
        <b/>
        <i/>
        <sz val="11"/>
        <color rgb="FF7F7F7F"/>
        <rFont val="Calibri"/>
        <family val="2"/>
        <scheme val="minor"/>
      </rPr>
      <t>(M)</t>
    </r>
    <r>
      <rPr>
        <i/>
        <sz val="11"/>
        <color rgb="FF7F7F7F"/>
        <rFont val="Calibri"/>
        <family val="2"/>
        <scheme val="minor"/>
      </rPr>
      <t xml:space="preserve">, weeks </t>
    </r>
    <r>
      <rPr>
        <b/>
        <i/>
        <sz val="11"/>
        <color rgb="FF7F7F7F"/>
        <rFont val="Calibri"/>
        <family val="2"/>
        <scheme val="minor"/>
      </rPr>
      <t>(W)</t>
    </r>
    <r>
      <rPr>
        <i/>
        <sz val="11"/>
        <color rgb="FF7F7F7F"/>
        <rFont val="Calibri"/>
        <family val="2"/>
        <scheme val="minor"/>
      </rPr>
      <t xml:space="preserve">, days </t>
    </r>
    <r>
      <rPr>
        <b/>
        <i/>
        <sz val="11"/>
        <color rgb="FF7F7F7F"/>
        <rFont val="Calibri"/>
        <family val="2"/>
        <scheme val="minor"/>
      </rPr>
      <t>(D)</t>
    </r>
    <r>
      <rPr>
        <i/>
        <sz val="11"/>
        <color rgb="FF7F7F7F"/>
        <rFont val="Calibri"/>
        <family val="2"/>
        <scheme val="minor"/>
      </rPr>
      <t xml:space="preserve">, and hours </t>
    </r>
    <r>
      <rPr>
        <b/>
        <i/>
        <sz val="11"/>
        <color rgb="FF7F7F7F"/>
        <rFont val="Calibri"/>
        <family val="2"/>
        <scheme val="minor"/>
      </rPr>
      <t>(H)</t>
    </r>
    <r>
      <rPr>
        <i/>
        <sz val="11"/>
        <color rgb="FF7F7F7F"/>
        <rFont val="Calibri"/>
        <family val="2"/>
        <scheme val="minor"/>
      </rPr>
      <t>.</t>
    </r>
  </si>
  <si>
    <t>It can also be used to convert a percentage of FTE to person month</t>
  </si>
  <si>
    <t xml:space="preserve">How to use </t>
  </si>
  <si>
    <r>
      <t>For each section, input the requested information in the</t>
    </r>
    <r>
      <rPr>
        <b/>
        <i/>
        <u/>
        <sz val="11"/>
        <color rgb="FFFBCF53"/>
        <rFont val="Calibri"/>
        <family val="2"/>
        <scheme val="minor"/>
      </rPr>
      <t xml:space="preserve"> gold field box</t>
    </r>
    <r>
      <rPr>
        <i/>
        <sz val="11"/>
        <color rgb="FF7F7F7F"/>
        <rFont val="Calibri"/>
        <family val="2"/>
        <scheme val="minor"/>
      </rPr>
      <t xml:space="preserve"> and then select from the  </t>
    </r>
    <r>
      <rPr>
        <b/>
        <i/>
        <u/>
        <sz val="11"/>
        <color theme="5" tint="-0.249977111117893"/>
        <rFont val="Calibri"/>
        <family val="2"/>
        <scheme val="minor"/>
      </rPr>
      <t>drop-down option</t>
    </r>
    <r>
      <rPr>
        <i/>
        <sz val="11"/>
        <color rgb="FF7F7F7F"/>
        <rFont val="Calibri"/>
        <family val="2"/>
        <scheme val="minor"/>
      </rPr>
      <t xml:space="preserve"> the correct appointment type. </t>
    </r>
  </si>
  <si>
    <r>
      <rPr>
        <b/>
        <i/>
        <sz val="11"/>
        <color rgb="FF7F7F7F"/>
        <rFont val="Calibri"/>
        <family val="2"/>
        <scheme val="minor"/>
      </rPr>
      <t>Finding "person-months" from the percentage of effort:</t>
    </r>
    <r>
      <rPr>
        <i/>
        <sz val="11"/>
        <color rgb="FF7F7F7F"/>
        <rFont val="Calibri"/>
        <family val="2"/>
        <scheme val="minor"/>
      </rPr>
      <t xml:space="preserve"> Multiply the percentage of your effort associated with the project X the number of months of your appointment</t>
    </r>
  </si>
  <si>
    <r>
      <rPr>
        <b/>
        <i/>
        <sz val="11"/>
        <color rgb="FF7F7F7F"/>
        <rFont val="Calibri"/>
        <family val="2"/>
        <scheme val="minor"/>
      </rPr>
      <t>Finding "person-months" from the hours PI is planning to work</t>
    </r>
    <r>
      <rPr>
        <i/>
        <sz val="11"/>
        <color rgb="FF7F7F7F"/>
        <rFont val="Calibri"/>
        <family val="2"/>
        <scheme val="minor"/>
      </rPr>
      <t>: total-hours-planning to work / total hours in appointment type X total months in appointment type</t>
    </r>
  </si>
  <si>
    <r>
      <rPr>
        <b/>
        <i/>
        <sz val="11"/>
        <color rgb="FF7F7F7F"/>
        <rFont val="Calibri"/>
        <family val="2"/>
        <scheme val="minor"/>
      </rPr>
      <t>Finding "person-months" from the number of week PI is planning to work:</t>
    </r>
    <r>
      <rPr>
        <i/>
        <sz val="11"/>
        <color rgb="FF7F7F7F"/>
        <rFont val="Calibri"/>
        <family val="2"/>
        <scheme val="minor"/>
      </rPr>
      <t xml:space="preserve"> total-weeks-planning to work/ total weeks in appointment type X total weeks in appointment type</t>
    </r>
  </si>
  <si>
    <t>Person Month Calculation Using Percentage of Effort</t>
  </si>
  <si>
    <t>% of effort</t>
  </si>
  <si>
    <t>Appointment type</t>
  </si>
  <si>
    <t>Person Month</t>
  </si>
  <si>
    <t>Person Month Calculation Using Hours</t>
  </si>
  <si>
    <t>Total Working Hours</t>
  </si>
  <si>
    <t>Appointment type - Hours</t>
  </si>
  <si>
    <t>Person Month Calculation Using Weeks</t>
  </si>
  <si>
    <t>Appointment type - Weeks</t>
  </si>
  <si>
    <t>Person Month Calculation Using Days</t>
  </si>
  <si>
    <t>Appointment type - Days</t>
  </si>
  <si>
    <t>FTE to Person Month Calculation</t>
  </si>
  <si>
    <t>FTE</t>
  </si>
  <si>
    <t>Person month</t>
  </si>
  <si>
    <t>Annualized Salary Calculation</t>
  </si>
  <si>
    <t>Base Salary</t>
  </si>
  <si>
    <t>Academic Months</t>
  </si>
  <si>
    <t>Annualized Salary</t>
  </si>
  <si>
    <t xml:space="preserve"> Work Period Calculations</t>
  </si>
  <si>
    <t>Months</t>
  </si>
  <si>
    <t>Weeks</t>
  </si>
  <si>
    <t>Days</t>
  </si>
  <si>
    <t>Hours</t>
  </si>
  <si>
    <t xml:space="preserve">Academic Year: </t>
  </si>
  <si>
    <t>Summer Months:</t>
  </si>
  <si>
    <t xml:space="preserve">Fiscal/ Calendar Year: </t>
  </si>
  <si>
    <t>NAU PROPOSAL BUDGET FORM</t>
  </si>
  <si>
    <t>Click + for Cost Share Details</t>
  </si>
  <si>
    <t>Principal Investigator</t>
  </si>
  <si>
    <t>Proposal Number:</t>
  </si>
  <si>
    <t>Proposal duration</t>
  </si>
  <si>
    <t xml:space="preserve">to </t>
  </si>
  <si>
    <t>Years</t>
  </si>
  <si>
    <t>YEAR 1</t>
  </si>
  <si>
    <t>YEAR 2</t>
  </si>
  <si>
    <t>YEAR 3</t>
  </si>
  <si>
    <t>YEAR 4</t>
  </si>
  <si>
    <t>YEAR 5</t>
  </si>
  <si>
    <t>YEAR 6</t>
  </si>
  <si>
    <t>YEAR 7</t>
  </si>
  <si>
    <t>YEAR 8</t>
  </si>
  <si>
    <t>YEAR 9</t>
  </si>
  <si>
    <t>YEAR 10</t>
  </si>
  <si>
    <t>TOTAL</t>
  </si>
  <si>
    <t xml:space="preserve">OVERALL COST Including Cost Share </t>
  </si>
  <si>
    <t xml:space="preserve">YEAR 4 </t>
  </si>
  <si>
    <t xml:space="preserve">COST SHARE TOTAL </t>
  </si>
  <si>
    <t>SENIOR PERSONNEL Wages</t>
  </si>
  <si>
    <t>Salaries increase 3% per year</t>
  </si>
  <si>
    <t>SENIOR PERSONNEL Salary</t>
  </si>
  <si>
    <t>Name</t>
  </si>
  <si>
    <t>Role</t>
  </si>
  <si>
    <t>Contract Type 
(8.77 for an AY base &amp; 12 for CAL base)</t>
  </si>
  <si>
    <t>Y1 Person Month</t>
  </si>
  <si>
    <t>Y2 Person Month</t>
  </si>
  <si>
    <t>Y3 Person Month</t>
  </si>
  <si>
    <t>Y4 Person Month</t>
  </si>
  <si>
    <t>Y5 Person Month</t>
  </si>
  <si>
    <t>Y6 Person Month</t>
  </si>
  <si>
    <t>Y7 Person Month</t>
  </si>
  <si>
    <t>Y8 Person Month</t>
  </si>
  <si>
    <t>Y9 Person Month</t>
  </si>
  <si>
    <t>Y10 Person Month</t>
  </si>
  <si>
    <r>
      <t xml:space="preserve">To get an accurate effort for each person per year, use the  the "person month calculator" below or on the  </t>
    </r>
    <r>
      <rPr>
        <u/>
        <sz val="12"/>
        <color rgb="FFFF0000"/>
        <rFont val="Aptos"/>
        <family val="2"/>
      </rPr>
      <t>"START HERE"</t>
    </r>
    <r>
      <rPr>
        <sz val="12"/>
        <color rgb="FFFF0000"/>
        <rFont val="Aptos"/>
        <family val="2"/>
      </rPr>
      <t xml:space="preserve"> tab </t>
    </r>
  </si>
  <si>
    <t>COST-yr. 1</t>
  </si>
  <si>
    <t>COST-yr. 2</t>
  </si>
  <si>
    <t>COST-yr. 3</t>
  </si>
  <si>
    <t>COST-yr. 4</t>
  </si>
  <si>
    <t>COST-yr. 5</t>
  </si>
  <si>
    <t>COST-yr. 6</t>
  </si>
  <si>
    <t>COST-yr. 7</t>
  </si>
  <si>
    <t>COST-yr. 8</t>
  </si>
  <si>
    <t>COST-yr. 9</t>
  </si>
  <si>
    <t>COST-yr. 10</t>
  </si>
  <si>
    <t>COST SHARE TOTAL</t>
  </si>
  <si>
    <t>To get an accurate effort for each person/year, use the "person month calculator" on the "START HERE" tab</t>
  </si>
  <si>
    <t>PI</t>
  </si>
  <si>
    <t>Co PI</t>
  </si>
  <si>
    <t>Senior Personnel</t>
  </si>
  <si>
    <t>appointment type</t>
  </si>
  <si>
    <t>person month</t>
  </si>
  <si>
    <t>Total Sr. Personnel Salary</t>
  </si>
  <si>
    <t>Total - Senior Personnel Salary</t>
  </si>
  <si>
    <t>OTHER PERSONNEL Wages</t>
  </si>
  <si>
    <t>OTHER PERSONNEL Salary/Wage</t>
  </si>
  <si>
    <t>#</t>
  </si>
  <si>
    <t>Role &amp; Name (if applicable)</t>
  </si>
  <si>
    <t>Hours per week</t>
  </si>
  <si>
    <t>Hourly Rate</t>
  </si>
  <si>
    <t>Monthly Salary</t>
  </si>
  <si>
    <t>Y1 # of Months</t>
  </si>
  <si>
    <t>Y2 # of  Months</t>
  </si>
  <si>
    <t>Y3 # of Months</t>
  </si>
  <si>
    <t>Y4 # of Months</t>
  </si>
  <si>
    <t>Y5 # of Months</t>
  </si>
  <si>
    <t>Y6 # of Months</t>
  </si>
  <si>
    <t>Y7 # of Months</t>
  </si>
  <si>
    <t>Y8 # of Months</t>
  </si>
  <si>
    <t>Y9 # of Months</t>
  </si>
  <si>
    <t>Y10 # of Months</t>
  </si>
  <si>
    <t>Research Assistant</t>
  </si>
  <si>
    <t>Post-Doc</t>
  </si>
  <si>
    <t xml:space="preserve">Undergrad - AY </t>
  </si>
  <si>
    <t>Undergrad - SM</t>
  </si>
  <si>
    <t>Temp Employee</t>
  </si>
  <si>
    <t>Student Worker</t>
  </si>
  <si>
    <t>Subtotal Oth. Personnel Salary</t>
  </si>
  <si>
    <t>Subtotal - Oth. Personnel Salary</t>
  </si>
  <si>
    <t>CLICK "+" to ADD GRAs
ALL GRADUATE RESEARCH ASSISTANT (GRAs) Salary</t>
  </si>
  <si>
    <t>ALL GRADUATE RESEARCH ASSISTANT (GRAs) Salary</t>
  </si>
  <si>
    <t># of</t>
  </si>
  <si>
    <t xml:space="preserve">Y1 Hrs. per week </t>
  </si>
  <si>
    <t>Y2 Hrs. per week</t>
  </si>
  <si>
    <t xml:space="preserve">Y3 Hrs. per week </t>
  </si>
  <si>
    <t xml:space="preserve">Y4 Hrs. per week </t>
  </si>
  <si>
    <t xml:space="preserve">Y5 Hrs. per week </t>
  </si>
  <si>
    <t xml:space="preserve">Y6 Hrs. per week </t>
  </si>
  <si>
    <t xml:space="preserve">Y7 Hrs. per week </t>
  </si>
  <si>
    <t xml:space="preserve">Y8 Hrs. per week </t>
  </si>
  <si>
    <t xml:space="preserve">Y9 Hrs. per week </t>
  </si>
  <si>
    <t xml:space="preserve">Y10 Hrs. per week </t>
  </si>
  <si>
    <t>The academic year effort calculation is doubled</t>
  </si>
  <si>
    <t>Y1 Hrs. Per Week</t>
  </si>
  <si>
    <t>Y2 Hrs. Per Week</t>
  </si>
  <si>
    <t>Y3 Hrs. Per Week</t>
  </si>
  <si>
    <t>Y4 Hrs. Per Week</t>
  </si>
  <si>
    <t>Y5 Hrs. Per Week</t>
  </si>
  <si>
    <t>Y6 Hrs. Per Week</t>
  </si>
  <si>
    <t>Y7 Hrs. Per Week</t>
  </si>
  <si>
    <t>Y8 Hrs. Per Week</t>
  </si>
  <si>
    <t>Y9 Hrs. Per Week</t>
  </si>
  <si>
    <t>Y10 Hrs. Per Week</t>
  </si>
  <si>
    <t>GRA # 1</t>
  </si>
  <si>
    <t>Full year</t>
  </si>
  <si>
    <t>GRA # 0</t>
  </si>
  <si>
    <t>Summer</t>
  </si>
  <si>
    <t>GRA #2</t>
  </si>
  <si>
    <t>GRA #1</t>
  </si>
  <si>
    <t>GRA #3</t>
  </si>
  <si>
    <t>GRA #4</t>
  </si>
  <si>
    <t>GRA #5</t>
  </si>
  <si>
    <t>Subtotal GRA salary</t>
  </si>
  <si>
    <t>Subtotal GRA Salaries</t>
  </si>
  <si>
    <t>Total Other Personnel Salary</t>
  </si>
  <si>
    <t>Total Other Personal Salary</t>
  </si>
  <si>
    <t xml:space="preserve">SENIOR PERSONNEL Fringe </t>
  </si>
  <si>
    <t>ERE%</t>
  </si>
  <si>
    <t>Fringe Benefits are to be calculated based on the OSP Fringe Benefit Calculator for all NAU employees</t>
  </si>
  <si>
    <t>Total Sr Personnel Fringe</t>
  </si>
  <si>
    <t>Total Sr. Personnel Fringe</t>
  </si>
  <si>
    <t>OTHER PERSONNEL Fringe</t>
  </si>
  <si>
    <t>Subtotal Oth. Personnel Benefits</t>
  </si>
  <si>
    <t>CLICK "+" to ADD GRAs
ALL GRADUATE RESEARCH ASSISTANT (GRAs) Benefits</t>
  </si>
  <si>
    <t>ALL GRADUATE RESEARCH ASSISTANT (GRAs) Benefits</t>
  </si>
  <si>
    <t>Fringe Benefits are to be calculated based on the OSP Fringe Benefit Calculator for all NAU employees. 
For the GRA insurance, make sure to select the appropriate insurance type for each year based on the committed effort</t>
  </si>
  <si>
    <t>COST-y1</t>
  </si>
  <si>
    <t>COST-y2</t>
  </si>
  <si>
    <t>COST-y3</t>
  </si>
  <si>
    <t>COST-y4</t>
  </si>
  <si>
    <t>COST-y5</t>
  </si>
  <si>
    <t>COST-y6</t>
  </si>
  <si>
    <t>COST-y7</t>
  </si>
  <si>
    <t>COST-y8</t>
  </si>
  <si>
    <t>COST-y9</t>
  </si>
  <si>
    <t>COST-y10</t>
  </si>
  <si>
    <t>GRA Insurance rates</t>
  </si>
  <si>
    <t>If other insurance amount, input -&gt;</t>
  </si>
  <si>
    <t>Subtotal Graduate Research Assistant Benefits</t>
  </si>
  <si>
    <t>CLICK "+" to ADD GRAs
ALL GRADUATE RESEARCH ASSISTANT (GRAs) Tuition Remission</t>
  </si>
  <si>
    <t>ALL GRADUATE RESEARCH ASSISTANT (GRAs) Tuition Remission</t>
  </si>
  <si>
    <t>Tuition Remission</t>
  </si>
  <si>
    <t>Rate</t>
  </si>
  <si>
    <t>if 20 hrs./week</t>
  </si>
  <si>
    <t xml:space="preserve"> if 10-19 hrs./week</t>
  </si>
  <si>
    <t>if 10-19 hrs./week</t>
  </si>
  <si>
    <t>Subtotal Graduate Research Assistant Tuition</t>
  </si>
  <si>
    <t>SubTotal Graduate Research Assistant Tuition</t>
  </si>
  <si>
    <t>Total Other Personnel Benefits + Tuition</t>
  </si>
  <si>
    <t>Total Other Personnel Fringe + Tuition</t>
  </si>
  <si>
    <t>EQUIPMENT</t>
  </si>
  <si>
    <t>Equipment</t>
  </si>
  <si>
    <t>Description</t>
  </si>
  <si>
    <t>Equipment is defined as movable tangible property having a life expectancy of one year+ and unit cost of $5,000+ . Red cells indicate that the amount is below the $5,000 amount</t>
  </si>
  <si>
    <t>EQUIPMENT - Description</t>
  </si>
  <si>
    <t>Total Equipment</t>
  </si>
  <si>
    <t>TRAVEL</t>
  </si>
  <si>
    <t>Type of Travel</t>
  </si>
  <si>
    <t xml:space="preserve">  Domestic</t>
  </si>
  <si>
    <t xml:space="preserve">  International</t>
  </si>
  <si>
    <t>Total Travel</t>
  </si>
  <si>
    <t>PARTICIPANT SUPPORT COSTS</t>
  </si>
  <si>
    <t xml:space="preserve">
Click+/- to show/hide PSC</t>
  </si>
  <si>
    <t>Amount per participant</t>
  </si>
  <si>
    <t># of Participants: Y1</t>
  </si>
  <si>
    <t>#of Participants: Y2</t>
  </si>
  <si>
    <t># of Participants: Y3</t>
  </si>
  <si>
    <t># of Participants: Y4</t>
  </si>
  <si>
    <t># of Participants: Y5</t>
  </si>
  <si>
    <t># of Participants: Y6</t>
  </si>
  <si>
    <t># of Participants: Y7</t>
  </si>
  <si>
    <t># of Participants: Y8</t>
  </si>
  <si>
    <t># of Participants: Y9</t>
  </si>
  <si>
    <t># of Participants: Y10</t>
  </si>
  <si>
    <t>Tuition/Fees/Health Insurance</t>
  </si>
  <si>
    <t>Stipends</t>
  </si>
  <si>
    <t>Travel</t>
  </si>
  <si>
    <t>Subsistence</t>
  </si>
  <si>
    <t>Other</t>
  </si>
  <si>
    <t>Total Participant Support Costs</t>
  </si>
  <si>
    <t>OTHER DIRECT COSTS</t>
  </si>
  <si>
    <t>Other Direct Costs</t>
  </si>
  <si>
    <t xml:space="preserve">  Material and Supplies</t>
  </si>
  <si>
    <t xml:space="preserve">  Consultant Services</t>
  </si>
  <si>
    <t xml:space="preserve">  Publishing</t>
  </si>
  <si>
    <t xml:space="preserve">  Publication Costs</t>
  </si>
  <si>
    <t xml:space="preserve">  Computer/Software Services</t>
  </si>
  <si>
    <t xml:space="preserve">  Facility Rental/User Fees</t>
  </si>
  <si>
    <t xml:space="preserve">  Alterations and Renovations</t>
  </si>
  <si>
    <t xml:space="preserve"> Other (including Human Subject Payments)</t>
  </si>
  <si>
    <t xml:space="preserve">  Other (Including Human subjects payments)</t>
  </si>
  <si>
    <t>Total Other Direct Costs</t>
  </si>
  <si>
    <t>SUBRECIPIENT</t>
  </si>
  <si>
    <t>COST SHARE SUBRECIPIENTS</t>
  </si>
  <si>
    <t>Subaward 1</t>
  </si>
  <si>
    <t>Amount</t>
  </si>
  <si>
    <t>&gt; $25K</t>
  </si>
  <si>
    <t>exempt from IDC</t>
  </si>
  <si>
    <t>Subaward 2</t>
  </si>
  <si>
    <t>Subaward 3</t>
  </si>
  <si>
    <t>Subaward 4</t>
  </si>
  <si>
    <t>Subaward 5</t>
  </si>
  <si>
    <t>ALL SUBAWARDS SUBTOTAL</t>
  </si>
  <si>
    <t>TOTAL DIRECT COSTS</t>
  </si>
  <si>
    <t>INDIRECT COSTS</t>
  </si>
  <si>
    <t>Indirect Cost Base</t>
  </si>
  <si>
    <t>Total Indirect Costs</t>
  </si>
  <si>
    <t>On-Campus Research</t>
  </si>
  <si>
    <t>if OTHER rate, type -&gt;</t>
  </si>
  <si>
    <t>OtherTDC</t>
  </si>
  <si>
    <t>Applying Unrecovered Indirect Cost to the budget will be counted as a Match/Cost Share to the Project. This only becomes applicable if and when it is allowed by the sponsor. The cost share portion of the budget has more information -&gt;</t>
  </si>
  <si>
    <t>Unrecovered Indirect Cost Calculation</t>
  </si>
  <si>
    <t>only applicable if/when the sponsor allows unrecovered IDC to be used to meet cost share requirement</t>
  </si>
  <si>
    <t>NAU NICRA Rate =&gt;</t>
  </si>
  <si>
    <t>TOTAL PROJECT COSTS</t>
  </si>
  <si>
    <t>TOTAL COST SHARE COSTS</t>
  </si>
  <si>
    <t>PROPOSAL BUDGET FORM</t>
  </si>
  <si>
    <t>Northern Arizona University</t>
  </si>
  <si>
    <t>Cumulative Budget</t>
  </si>
  <si>
    <t>Year 1</t>
  </si>
  <si>
    <t>Year 2</t>
  </si>
  <si>
    <t>Year 3</t>
  </si>
  <si>
    <t>Year 4</t>
  </si>
  <si>
    <t>Year 5</t>
  </si>
  <si>
    <t>Year 6</t>
  </si>
  <si>
    <t>Year 7</t>
  </si>
  <si>
    <t>Year 8</t>
  </si>
  <si>
    <t>Year 9</t>
  </si>
  <si>
    <t>Year 10</t>
  </si>
  <si>
    <t>Cumulative</t>
  </si>
  <si>
    <t>Total Salaries</t>
  </si>
  <si>
    <t xml:space="preserve">Sr. Personnel </t>
  </si>
  <si>
    <t>Oth. Personnel</t>
  </si>
  <si>
    <t>Total Benefits</t>
  </si>
  <si>
    <t>Domestic</t>
  </si>
  <si>
    <t>International</t>
  </si>
  <si>
    <t>Total Participant Support cost</t>
  </si>
  <si>
    <t>Materials &amp; Supplies</t>
  </si>
  <si>
    <t>Consultants</t>
  </si>
  <si>
    <t>Oth. Expenses</t>
  </si>
  <si>
    <t>Total Subaward(s)</t>
  </si>
  <si>
    <t>Total Direct Costs</t>
  </si>
  <si>
    <t>Indirect Base</t>
  </si>
  <si>
    <t>Total sponsor requested</t>
  </si>
  <si>
    <t>Cost Share Total</t>
  </si>
  <si>
    <t>Cost Share Percentage</t>
  </si>
  <si>
    <t>Total Budget Costs</t>
  </si>
  <si>
    <t>Travel Calculator</t>
  </si>
  <si>
    <t>Information</t>
  </si>
  <si>
    <t>Cost</t>
  </si>
  <si>
    <t xml:space="preserve">Totals </t>
  </si>
  <si>
    <t>Destination</t>
  </si>
  <si>
    <t># of travelers</t>
  </si>
  <si>
    <t xml:space="preserve"># of days </t>
  </si>
  <si>
    <t># of nights</t>
  </si>
  <si>
    <t>Airline (RT)
(per person)</t>
  </si>
  <si>
    <t>Full day meal
(per person)</t>
  </si>
  <si>
    <t>1st &amp; last day meals 
(per person)</t>
  </si>
  <si>
    <t>Lodging 
(per night)</t>
  </si>
  <si>
    <t>Transportation
(per person)</t>
  </si>
  <si>
    <t>Conference registration 
(per person)</t>
  </si>
  <si>
    <t>Miscellaneous cost 
(per person)</t>
  </si>
  <si>
    <t>1st and last day meal</t>
  </si>
  <si>
    <t>Remaining days (Meal) minus first &amp; last day</t>
  </si>
  <si>
    <t>Airline(RT)</t>
  </si>
  <si>
    <t>Lodging</t>
  </si>
  <si>
    <t>Transportation</t>
  </si>
  <si>
    <t>Conference Registration</t>
  </si>
  <si>
    <t>Miscellenous</t>
  </si>
  <si>
    <t>Trip #1</t>
  </si>
  <si>
    <t>Trip #2</t>
  </si>
  <si>
    <t>Trip #3</t>
  </si>
  <si>
    <t>Trip #4</t>
  </si>
  <si>
    <t>Trip #5</t>
  </si>
  <si>
    <t>Trip #6</t>
  </si>
  <si>
    <t>Trip #7</t>
  </si>
  <si>
    <t>Trip #8</t>
  </si>
  <si>
    <t>Trip #9</t>
  </si>
  <si>
    <t>Trip #10</t>
  </si>
  <si>
    <t>All trips</t>
  </si>
  <si>
    <t>NOTE</t>
  </si>
  <si>
    <t>Useful Links</t>
  </si>
  <si>
    <t>NAU Travel Policies</t>
  </si>
  <si>
    <t>State of Arizona Accounting Manual (SAAM)</t>
  </si>
  <si>
    <t>Per Diem Look-up based on Travel Destination</t>
  </si>
  <si>
    <t>FedRooms</t>
  </si>
  <si>
    <t xml:space="preserve">Transportation expenses may include university fleet vehicle, public transportation, airfare, checked bags, rental cars, mileage, fuel/gas, road tolls, bridge fees, and parking. </t>
  </si>
  <si>
    <t>FedRooms is the official U.S. government hotel program and is recommended for federal travelers by the U.S. General Service Administration (GSA)</t>
  </si>
  <si>
    <t>Summary of Personnel Costs</t>
  </si>
  <si>
    <t>SENIOR PERSONNEL</t>
  </si>
  <si>
    <t>Salary &amp; Fringe Total</t>
  </si>
  <si>
    <t>Y1</t>
  </si>
  <si>
    <t>Y2</t>
  </si>
  <si>
    <t>Y3</t>
  </si>
  <si>
    <t>Y4</t>
  </si>
  <si>
    <t>Y5</t>
  </si>
  <si>
    <t>Y6</t>
  </si>
  <si>
    <t>Y7</t>
  </si>
  <si>
    <t>Y8</t>
  </si>
  <si>
    <t>Y9</t>
  </si>
  <si>
    <t>Y10</t>
  </si>
  <si>
    <t>Total</t>
  </si>
  <si>
    <t xml:space="preserve">Total </t>
  </si>
  <si>
    <t>OTHER PERSONNEL</t>
  </si>
  <si>
    <t>Name &amp; Role</t>
  </si>
  <si>
    <t>Salay &amp; fringe total</t>
  </si>
  <si>
    <t xml:space="preserve">Y1 </t>
  </si>
  <si>
    <t>GRA</t>
  </si>
  <si>
    <t>Appointment</t>
  </si>
  <si>
    <t>Salary &amp; Fringe</t>
  </si>
  <si>
    <t>IDC RATE</t>
  </si>
  <si>
    <t xml:space="preserve">LOCATION </t>
  </si>
  <si>
    <t>RATES</t>
  </si>
  <si>
    <t>On-Campus Instruction</t>
  </si>
  <si>
    <t>On-Campus Other Sponsored Activies</t>
  </si>
  <si>
    <t>Off-Campus Research</t>
  </si>
  <si>
    <t>Off-Campus Instruction</t>
  </si>
  <si>
    <t>Off-Campus Other Sponsored Activies</t>
  </si>
  <si>
    <t>CESU</t>
  </si>
  <si>
    <t>OtherMTDC</t>
  </si>
  <si>
    <t>Wages&amp;Fringe Only</t>
  </si>
  <si>
    <t xml:space="preserve">Tutition Remission </t>
  </si>
  <si>
    <t>Full Tutition</t>
  </si>
  <si>
    <t>Total benefit if 10-19 hrs/week</t>
  </si>
  <si>
    <t>GRA Insurance</t>
  </si>
  <si>
    <t xml:space="preserve">Year </t>
  </si>
  <si>
    <t>full year 24-25</t>
  </si>
  <si>
    <t>Fall</t>
  </si>
  <si>
    <t>fall 24</t>
  </si>
  <si>
    <t>Spring</t>
  </si>
  <si>
    <t>spring 25</t>
  </si>
  <si>
    <t>Summer only 2024</t>
  </si>
  <si>
    <t>summer only 25</t>
  </si>
  <si>
    <r>
      <t xml:space="preserve">This tab is the </t>
    </r>
    <r>
      <rPr>
        <i/>
        <u/>
        <sz val="11"/>
        <rFont val="Aptos Black"/>
        <family val="2"/>
      </rPr>
      <t>MAIN</t>
    </r>
    <r>
      <rPr>
        <i/>
        <sz val="11"/>
        <color rgb="FF7F7F7F"/>
        <rFont val="Aptos Black"/>
        <family val="2"/>
      </rPr>
      <t xml:space="preserve"> tab. This will house a 10</t>
    </r>
    <r>
      <rPr>
        <b/>
        <i/>
        <u/>
        <sz val="11"/>
        <color rgb="FF7F7F7F"/>
        <rFont val="Aptos Black"/>
        <family val="2"/>
      </rPr>
      <t>-year</t>
    </r>
    <r>
      <rPr>
        <i/>
        <sz val="11"/>
        <color rgb="FF7F7F7F"/>
        <rFont val="Aptos Black"/>
        <family val="2"/>
      </rPr>
      <t xml:space="preserve"> budget period with cost share details included.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</si>
</sst>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1" formatCode="_(* #,##0_);_(* \(#,##0\);_(* &quot;-&quot;_);_(@_)"/>
    <numFmt numFmtId="44" formatCode="_(&quot;$&quot;* #,##0.00_);_(&quot;$&quot;* \(#,##0.00\);_(&quot;$&quot;* &quot;-&quot;??_);_(@_)"/>
    <numFmt numFmtId="43" formatCode="_(* #,##0.00_);_(* \(#,##0.00\);_(* &quot;-&quot;??_);_(@_)"/>
    <numFmt numFmtId="164" formatCode="_(* #,##0.00_);_(* \(#,##0.00\);_(* &quot;-&quot;_);_(@_)"/>
    <numFmt numFmtId="165" formatCode="_([$$-409]* #,##0_);_([$$-409]* \(#,##0\);_([$$-409]* &quot;-&quot;??_);_(@_)"/>
    <numFmt numFmtId="166" formatCode="_(* #,##0_);_(* \(#,##0\);_(* &quot;-&quot;??_);_(@_)"/>
    <numFmt numFmtId="167" formatCode="_(&quot;$&quot;* #,##0_);_(&quot;$&quot;* \(#,##0\);_(&quot;$&quot;* &quot;-&quot;??_);_(@_)"/>
    <numFmt numFmtId="168" formatCode="0.000"/>
    <numFmt numFmtId="169" formatCode="0.0%"/>
    <numFmt numFmtId="170" formatCode="_(&quot;$&quot;* #,##0.0_);_(&quot;$&quot;* \(#,##0.0\);_(&quot;$&quot;* &quot;-&quot;??_);_(@_)"/>
  </numFmts>
  <fonts count="1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color rgb="FFFF0000"/>
      <name val="Arial"/>
      <family val="2"/>
    </font>
    <font>
      <u/>
      <sz val="10"/>
      <color theme="10"/>
      <name val="Arial"/>
      <family val="2"/>
    </font>
    <font>
      <u/>
      <sz val="10"/>
      <color theme="11"/>
      <name val="Arial"/>
      <family val="2"/>
    </font>
    <font>
      <i/>
      <sz val="10"/>
      <name val="Arial"/>
      <family val="2"/>
    </font>
    <font>
      <sz val="10"/>
      <name val="Arial"/>
      <family val="2"/>
    </font>
    <font>
      <sz val="10"/>
      <name val="Arial"/>
      <family val="2"/>
    </font>
    <font>
      <b/>
      <sz val="13"/>
      <color theme="3"/>
      <name val="Calibri"/>
      <family val="2"/>
      <scheme val="minor"/>
    </font>
    <font>
      <sz val="11"/>
      <name val="Calibri"/>
      <family val="2"/>
      <scheme val="minor"/>
    </font>
    <font>
      <b/>
      <sz val="11"/>
      <name val="Calibri"/>
      <family val="2"/>
      <scheme val="minor"/>
    </font>
    <font>
      <b/>
      <sz val="11"/>
      <name val="Arial"/>
      <family val="2"/>
    </font>
    <font>
      <sz val="11"/>
      <name val="Arial"/>
      <family val="2"/>
    </font>
    <font>
      <b/>
      <sz val="10"/>
      <color theme="9" tint="-0.499984740745262"/>
      <name val="Arial"/>
      <family val="2"/>
    </font>
    <font>
      <b/>
      <sz val="11"/>
      <color theme="1" tint="0.34998626667073579"/>
      <name val="Calibri"/>
      <family val="2"/>
      <scheme val="minor"/>
    </font>
    <font>
      <b/>
      <sz val="11"/>
      <color indexed="10"/>
      <name val="Arial"/>
      <family val="2"/>
    </font>
    <font>
      <sz val="12"/>
      <name val="Arial"/>
      <family val="2"/>
    </font>
    <font>
      <sz val="10"/>
      <name val="Aharoni"/>
      <charset val="177"/>
    </font>
    <font>
      <sz val="10"/>
      <name val="Aptos Display"/>
      <family val="2"/>
    </font>
    <font>
      <sz val="12"/>
      <name val="Aptos Display"/>
      <family val="2"/>
    </font>
    <font>
      <sz val="14"/>
      <name val="Aptos Display"/>
      <family val="2"/>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name val="Arial"/>
      <family val="2"/>
    </font>
    <font>
      <sz val="11"/>
      <color rgb="FFD0CECE"/>
      <name val="Arial"/>
      <family val="2"/>
    </font>
    <font>
      <sz val="11"/>
      <color rgb="FFFFFFFF"/>
      <name val="Arial"/>
      <family val="2"/>
    </font>
    <font>
      <b/>
      <sz val="11"/>
      <name val="Aptos Display"/>
      <family val="2"/>
    </font>
    <font>
      <i/>
      <sz val="11"/>
      <name val="Arial"/>
      <family val="2"/>
    </font>
    <font>
      <b/>
      <sz val="11"/>
      <color theme="0" tint="-0.499984740745262"/>
      <name val="Arial"/>
      <family val="2"/>
    </font>
    <font>
      <b/>
      <sz val="11"/>
      <color theme="9" tint="-0.249977111117893"/>
      <name val="Arial"/>
      <family val="2"/>
    </font>
    <font>
      <sz val="11"/>
      <color rgb="FF000000"/>
      <name val="Arial"/>
      <family val="2"/>
    </font>
    <font>
      <b/>
      <i/>
      <sz val="11"/>
      <color rgb="FF7F7F7F"/>
      <name val="Calibri"/>
      <family val="2"/>
      <scheme val="minor"/>
    </font>
    <font>
      <b/>
      <sz val="9"/>
      <name val="Amasis MT Pro Light"/>
      <family val="1"/>
    </font>
    <font>
      <b/>
      <sz val="11"/>
      <color rgb="FF000000"/>
      <name val="Amasis MT Pro Light"/>
      <family val="1"/>
    </font>
    <font>
      <b/>
      <sz val="11"/>
      <name val="Amasis MT Pro Light"/>
      <family val="1"/>
    </font>
    <font>
      <sz val="10"/>
      <name val="Amasis MT Pro Light"/>
      <family val="1"/>
    </font>
    <font>
      <b/>
      <sz val="10"/>
      <name val="Amasis MT Pro Light"/>
      <family val="1"/>
    </font>
    <font>
      <b/>
      <sz val="11"/>
      <color theme="9"/>
      <name val="Calibri"/>
      <family val="2"/>
      <scheme val="minor"/>
    </font>
    <font>
      <b/>
      <sz val="10"/>
      <color theme="1" tint="4.9989318521683403E-2"/>
      <name val="Franklin Gothic Demi"/>
      <family val="2"/>
    </font>
    <font>
      <b/>
      <sz val="12"/>
      <name val="Aptos Display"/>
      <family val="2"/>
    </font>
    <font>
      <i/>
      <sz val="12"/>
      <color theme="5" tint="-0.249977111117893"/>
      <name val="Aptos Display"/>
      <family val="2"/>
    </font>
    <font>
      <b/>
      <sz val="12"/>
      <color rgb="FF3F3F3F"/>
      <name val="Aptos Display"/>
      <family val="2"/>
    </font>
    <font>
      <sz val="18"/>
      <color theme="3"/>
      <name val="Cambria"/>
      <family val="2"/>
      <scheme val="major"/>
    </font>
    <font>
      <i/>
      <sz val="11"/>
      <color rgb="FF7F7F7F"/>
      <name val="Aptos Black"/>
      <family val="2"/>
    </font>
    <font>
      <b/>
      <i/>
      <u/>
      <sz val="11"/>
      <color rgb="FF7F7F7F"/>
      <name val="Calibri"/>
      <family val="2"/>
      <scheme val="minor"/>
    </font>
    <font>
      <i/>
      <sz val="11"/>
      <color rgb="FF7F7F7F"/>
      <name val="Aptos Display"/>
      <family val="2"/>
    </font>
    <font>
      <i/>
      <u/>
      <sz val="11"/>
      <color rgb="FF7F7F7F"/>
      <name val="Aptos Display"/>
      <family val="2"/>
    </font>
    <font>
      <i/>
      <sz val="11"/>
      <color rgb="FFFF0000"/>
      <name val="Aptos Display"/>
      <family val="2"/>
    </font>
    <font>
      <b/>
      <i/>
      <sz val="11"/>
      <color rgb="FF7F7F7F"/>
      <name val="Aptos Display"/>
      <family val="2"/>
    </font>
    <font>
      <sz val="11"/>
      <color rgb="FF3F3F76"/>
      <name val="Aptos Display"/>
      <family val="2"/>
    </font>
    <font>
      <b/>
      <sz val="11"/>
      <color rgb="FFFA7D00"/>
      <name val="Aptos Display"/>
      <family val="2"/>
    </font>
    <font>
      <sz val="11"/>
      <color rgb="FFFA7D00"/>
      <name val="Aptos Display"/>
      <family val="2"/>
    </font>
    <font>
      <b/>
      <sz val="14"/>
      <name val="Aptos Display"/>
      <family val="2"/>
    </font>
    <font>
      <b/>
      <i/>
      <sz val="11"/>
      <name val="Aptos Display"/>
      <family val="2"/>
    </font>
    <font>
      <b/>
      <sz val="9"/>
      <name val="Aptos Mono"/>
      <family val="3"/>
    </font>
    <font>
      <sz val="11"/>
      <name val="Aptos"/>
      <family val="2"/>
    </font>
    <font>
      <b/>
      <sz val="18"/>
      <name val="Arial"/>
      <family val="2"/>
    </font>
    <font>
      <b/>
      <sz val="10"/>
      <name val="Aptos"/>
      <family val="2"/>
    </font>
    <font>
      <b/>
      <i/>
      <sz val="11"/>
      <color theme="5" tint="-0.249977111117893"/>
      <name val="Calibri"/>
      <family val="2"/>
      <scheme val="minor"/>
    </font>
    <font>
      <sz val="11"/>
      <color rgb="FFFF0000"/>
      <name val="Aptos"/>
      <family val="2"/>
    </font>
    <font>
      <sz val="9"/>
      <name val="Aptos Display"/>
      <family val="2"/>
    </font>
    <font>
      <sz val="8"/>
      <name val="Aptos Display"/>
      <family val="2"/>
    </font>
    <font>
      <sz val="8"/>
      <color rgb="FF3F3F3F"/>
      <name val="Calibri"/>
      <family val="2"/>
      <scheme val="minor"/>
    </font>
    <font>
      <b/>
      <sz val="11"/>
      <color theme="4" tint="-0.249977111117893"/>
      <name val="Arial"/>
      <family val="2"/>
    </font>
    <font>
      <b/>
      <sz val="11"/>
      <color theme="4" tint="-0.249977111117893"/>
      <name val="Calibri"/>
      <family val="2"/>
      <scheme val="minor"/>
    </font>
    <font>
      <b/>
      <sz val="12"/>
      <color theme="4" tint="-0.249977111117893"/>
      <name val="Aptos Display"/>
      <family val="2"/>
    </font>
    <font>
      <b/>
      <i/>
      <sz val="10"/>
      <name val="Aptos Display"/>
      <family val="2"/>
    </font>
    <font>
      <sz val="11"/>
      <color rgb="FF3F3F76"/>
      <name val="Aptos"/>
      <family val="2"/>
    </font>
    <font>
      <b/>
      <sz val="11"/>
      <color rgb="FFFA7D00"/>
      <name val="Aptos"/>
      <family val="2"/>
    </font>
    <font>
      <b/>
      <sz val="14"/>
      <name val="Aptos"/>
      <family val="2"/>
    </font>
    <font>
      <i/>
      <u/>
      <sz val="11"/>
      <name val="Aptos Black"/>
      <family val="2"/>
    </font>
    <font>
      <i/>
      <sz val="11"/>
      <name val="Aptos Black"/>
      <family val="2"/>
    </font>
    <font>
      <i/>
      <sz val="11"/>
      <color rgb="FF7F7F7F"/>
      <name val="Aptos"/>
      <family val="2"/>
    </font>
    <font>
      <b/>
      <i/>
      <u/>
      <sz val="11"/>
      <color rgb="FF7F7F7F"/>
      <name val="Aptos Black"/>
      <family val="2"/>
    </font>
    <font>
      <b/>
      <sz val="14"/>
      <color theme="4"/>
      <name val="Aptos"/>
      <family val="2"/>
    </font>
    <font>
      <sz val="14"/>
      <color rgb="FF3F3F76"/>
      <name val="Calibri"/>
      <family val="2"/>
      <scheme val="minor"/>
    </font>
    <font>
      <sz val="14"/>
      <name val="Arial"/>
      <family val="2"/>
    </font>
    <font>
      <sz val="11"/>
      <color theme="0" tint="-0.499984740745262"/>
      <name val="Arial"/>
      <family val="2"/>
    </font>
    <font>
      <sz val="10"/>
      <color rgb="FFFF0000"/>
      <name val="Aptos"/>
      <family val="2"/>
    </font>
    <font>
      <sz val="9"/>
      <color rgb="FFFF0000"/>
      <name val="Aptos"/>
      <family val="2"/>
    </font>
    <font>
      <b/>
      <i/>
      <sz val="11"/>
      <color theme="5" tint="-0.249977111117893"/>
      <name val="Arial"/>
      <family val="2"/>
    </font>
    <font>
      <u/>
      <sz val="10"/>
      <color theme="10"/>
      <name val="Arial"/>
      <family val="2"/>
    </font>
    <font>
      <b/>
      <sz val="15"/>
      <color theme="0"/>
      <name val="Calibri"/>
      <family val="2"/>
      <scheme val="minor"/>
    </font>
    <font>
      <i/>
      <sz val="11"/>
      <color theme="0"/>
      <name val="Calibri"/>
      <family val="2"/>
      <scheme val="minor"/>
    </font>
    <font>
      <b/>
      <sz val="13"/>
      <color theme="0"/>
      <name val="Calibri"/>
      <family val="2"/>
      <scheme val="minor"/>
    </font>
    <font>
      <b/>
      <sz val="11"/>
      <color rgb="FF3F3F76"/>
      <name val="Calibri"/>
      <family val="2"/>
      <scheme val="minor"/>
    </font>
    <font>
      <sz val="11"/>
      <color theme="3"/>
      <name val="Calibri"/>
      <family val="2"/>
      <scheme val="minor"/>
    </font>
    <font>
      <u/>
      <sz val="14"/>
      <color theme="1"/>
      <name val="Arial"/>
      <family val="2"/>
    </font>
    <font>
      <b/>
      <u/>
      <sz val="14"/>
      <name val="Cambria"/>
      <family val="1"/>
      <scheme val="major"/>
    </font>
    <font>
      <b/>
      <sz val="14"/>
      <color theme="1" tint="0.34998626667073579"/>
      <name val="Calibri"/>
      <family val="2"/>
      <scheme val="minor"/>
    </font>
    <font>
      <sz val="12"/>
      <name val="Amasis MT Pro"/>
      <family val="1"/>
    </font>
    <font>
      <b/>
      <sz val="12"/>
      <name val="Amasis MT Pro"/>
      <family val="1"/>
    </font>
    <font>
      <b/>
      <sz val="12"/>
      <color theme="9" tint="-0.499984740745262"/>
      <name val="Amasis MT Pro"/>
      <family val="1"/>
    </font>
    <font>
      <i/>
      <sz val="12"/>
      <name val="Amasis MT Pro"/>
      <family val="1"/>
    </font>
    <font>
      <b/>
      <sz val="22"/>
      <name val="Arial"/>
      <family val="2"/>
    </font>
    <font>
      <sz val="12"/>
      <color theme="0"/>
      <name val="Aptos Display"/>
      <family val="2"/>
    </font>
    <font>
      <b/>
      <i/>
      <sz val="11"/>
      <color theme="5"/>
      <name val="Aptos Display"/>
      <family val="2"/>
    </font>
    <font>
      <b/>
      <sz val="11"/>
      <color theme="0" tint="-0.499984740745262"/>
      <name val="Aptos"/>
      <family val="2"/>
    </font>
    <font>
      <b/>
      <u/>
      <sz val="11"/>
      <color theme="0" tint="-0.499984740745262"/>
      <name val="Aptos"/>
      <family val="2"/>
    </font>
    <font>
      <b/>
      <sz val="10"/>
      <color theme="0" tint="-0.499984740745262"/>
      <name val="Arial"/>
      <family val="2"/>
    </font>
    <font>
      <b/>
      <sz val="10"/>
      <color theme="0" tint="-0.499984740745262"/>
      <name val="Aptos"/>
      <family val="2"/>
    </font>
    <font>
      <sz val="10"/>
      <color theme="0" tint="-0.499984740745262"/>
      <name val="Aptos"/>
      <family val="2"/>
    </font>
    <font>
      <sz val="12"/>
      <color rgb="FFFF0000"/>
      <name val="Aptos"/>
      <family val="2"/>
    </font>
    <font>
      <u/>
      <sz val="12"/>
      <color rgb="FFFF0000"/>
      <name val="Aptos"/>
      <family val="2"/>
    </font>
    <font>
      <sz val="10"/>
      <name val="Aptos"/>
      <family val="2"/>
    </font>
    <font>
      <b/>
      <sz val="12"/>
      <color theme="3"/>
      <name val="Calibri"/>
      <family val="2"/>
      <scheme val="minor"/>
    </font>
    <font>
      <sz val="18"/>
      <color theme="3" tint="-0.249977111117893"/>
      <name val="Amasis MT Pro Medium"/>
      <family val="1"/>
    </font>
    <font>
      <sz val="11"/>
      <color theme="0"/>
      <name val="Amasis MT Pro Black"/>
      <family val="1"/>
    </font>
    <font>
      <b/>
      <sz val="10"/>
      <color rgb="FF3F3F3F"/>
      <name val="Aptos"/>
      <family val="2"/>
    </font>
    <font>
      <sz val="24"/>
      <color theme="0"/>
      <name val="Cambria"/>
      <family val="2"/>
      <scheme val="major"/>
    </font>
    <font>
      <b/>
      <i/>
      <sz val="12"/>
      <color rgb="FF7F7F7F"/>
      <name val="Aptos"/>
      <family val="2"/>
    </font>
    <font>
      <b/>
      <sz val="12"/>
      <color rgb="FFFF0000"/>
      <name val="Aptos"/>
      <family val="2"/>
    </font>
    <font>
      <b/>
      <i/>
      <sz val="11"/>
      <color rgb="FF7F7F7F"/>
      <name val="Aptos"/>
      <family val="2"/>
    </font>
    <font>
      <b/>
      <i/>
      <sz val="11"/>
      <color theme="5" tint="-0.249977111117893"/>
      <name val="Aptos"/>
      <family val="2"/>
    </font>
    <font>
      <b/>
      <i/>
      <sz val="12"/>
      <color theme="5" tint="-0.249977111117893"/>
      <name val="Aptos"/>
      <family val="2"/>
    </font>
    <font>
      <b/>
      <i/>
      <u/>
      <sz val="11"/>
      <color theme="5" tint="-0.249977111117893"/>
      <name val="Calibri"/>
      <family val="2"/>
      <scheme val="minor"/>
    </font>
    <font>
      <b/>
      <i/>
      <u/>
      <sz val="11"/>
      <color rgb="FFFBCF53"/>
      <name val="Calibri"/>
      <family val="2"/>
      <scheme val="minor"/>
    </font>
    <font>
      <b/>
      <sz val="11"/>
      <name val="Aptos"/>
      <family val="2"/>
    </font>
    <font>
      <b/>
      <sz val="12"/>
      <color theme="1" tint="0.499984740745262"/>
      <name val="Aptos Display"/>
      <family val="2"/>
    </font>
    <font>
      <b/>
      <sz val="11"/>
      <color theme="1" tint="0.499984740745262"/>
      <name val="Arial"/>
      <family val="2"/>
    </font>
    <font>
      <b/>
      <sz val="10"/>
      <color theme="1" tint="0.499984740745262"/>
      <name val="Arial"/>
      <family val="2"/>
    </font>
    <font>
      <sz val="8"/>
      <name val="Arial"/>
      <family val="2"/>
    </font>
    <font>
      <b/>
      <sz val="11"/>
      <color theme="1" tint="0.499984740745262"/>
      <name val="Calibri"/>
      <family val="2"/>
      <scheme val="minor"/>
    </font>
    <font>
      <i/>
      <u/>
      <sz val="11"/>
      <color rgb="FF7F7F7F"/>
      <name val="Aptos Black"/>
      <family val="2"/>
    </font>
    <font>
      <sz val="11"/>
      <color theme="1" tint="0.499984740745262"/>
      <name val="Calibri"/>
      <family val="2"/>
      <scheme val="minor"/>
    </font>
    <font>
      <sz val="11"/>
      <color theme="1" tint="0.499984740745262"/>
      <name val="Arial"/>
      <family val="2"/>
    </font>
    <font>
      <sz val="10"/>
      <color theme="1" tint="0.499984740745262"/>
      <name val="Arial"/>
      <family val="2"/>
    </font>
  </fonts>
  <fills count="4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4" tint="0.59999389629810485"/>
        <bgColor indexed="65"/>
      </patternFill>
    </fill>
    <fill>
      <patternFill patternType="solid">
        <fgColor rgb="FFFFFFFF"/>
        <bgColor indexed="64"/>
      </patternFill>
    </fill>
    <fill>
      <patternFill patternType="solid">
        <fgColor rgb="FFEBEAE9"/>
        <bgColor indexed="64"/>
      </patternFill>
    </fill>
    <fill>
      <patternFill patternType="solid">
        <fgColor theme="0"/>
        <bgColor indexed="64"/>
      </patternFill>
    </fill>
    <fill>
      <patternFill patternType="solid">
        <fgColor rgb="FFA8BFAE"/>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rgb="FFFFCC99"/>
      </patternFill>
    </fill>
    <fill>
      <patternFill patternType="solid">
        <fgColor rgb="FFF2F2F2"/>
      </patternFill>
    </fill>
    <fill>
      <patternFill patternType="solid">
        <fgColor theme="4"/>
      </patternFill>
    </fill>
    <fill>
      <patternFill patternType="solid">
        <fgColor theme="5" tint="0.79998168889431442"/>
        <bgColor indexed="65"/>
      </patternFill>
    </fill>
    <fill>
      <patternFill patternType="solid">
        <fgColor theme="9" tint="0.79998168889431442"/>
        <bgColor indexed="65"/>
      </patternFill>
    </fill>
    <fill>
      <patternFill patternType="solid">
        <fgColor rgb="FFE1DFE1"/>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499984740745262"/>
        <bgColor indexed="64"/>
      </patternFill>
    </fill>
    <fill>
      <patternFill patternType="solid">
        <fgColor theme="4" tint="-0.249977111117893"/>
        <bgColor indexed="64"/>
      </patternFill>
    </fill>
    <fill>
      <patternFill patternType="solid">
        <fgColor theme="2" tint="-0.89999084444715716"/>
        <bgColor indexed="64"/>
      </patternFill>
    </fill>
    <fill>
      <patternFill patternType="solid">
        <fgColor rgb="FFF2F2F2"/>
        <bgColor indexed="64"/>
      </patternFill>
    </fill>
    <fill>
      <patternFill patternType="solid">
        <fgColor theme="3" tint="0.39997558519241921"/>
        <bgColor indexed="64"/>
      </patternFill>
    </fill>
    <fill>
      <patternFill patternType="solid">
        <fgColor rgb="FFFAC01A"/>
        <bgColor indexed="64"/>
      </patternFill>
    </fill>
    <fill>
      <patternFill patternType="solid">
        <fgColor rgb="FFFBCF53"/>
        <bgColor indexed="64"/>
      </patternFill>
    </fill>
    <fill>
      <patternFill patternType="solid">
        <fgColor theme="2" tint="0.59999389629810485"/>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8" tint="-0.249977111117893"/>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6" tint="0.39997558519241921"/>
        <bgColor indexed="64"/>
      </patternFill>
    </fill>
    <fill>
      <patternFill patternType="solid">
        <fgColor theme="3"/>
        <bgColor indexed="64"/>
      </patternFill>
    </fill>
  </fills>
  <borders count="205">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tint="0.499984740745262"/>
      </bottom>
      <diagonal/>
    </border>
    <border>
      <left/>
      <right/>
      <top/>
      <bottom style="thin">
        <color indexed="64"/>
      </bottom>
      <diagonal/>
    </border>
    <border>
      <left style="double">
        <color indexed="64"/>
      </left>
      <right/>
      <top/>
      <bottom/>
      <diagonal/>
    </border>
    <border>
      <left/>
      <right style="double">
        <color indexed="64"/>
      </right>
      <top/>
      <bottom/>
      <diagonal/>
    </border>
    <border>
      <left/>
      <right style="thin">
        <color indexed="64"/>
      </right>
      <top/>
      <bottom/>
      <diagonal/>
    </border>
    <border>
      <left/>
      <right/>
      <top style="thin">
        <color indexed="64"/>
      </top>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style="hair">
        <color indexed="64"/>
      </left>
      <right/>
      <top style="hair">
        <color indexed="64"/>
      </top>
      <bottom style="hair">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top/>
      <bottom style="medium">
        <color indexed="64"/>
      </bottom>
      <diagonal/>
    </border>
    <border>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theme="0" tint="-0.14999847407452621"/>
      </left>
      <right/>
      <top/>
      <bottom style="thin">
        <color indexed="64"/>
      </bottom>
      <diagonal/>
    </border>
    <border>
      <left style="thin">
        <color theme="0" tint="-0.14999847407452621"/>
      </left>
      <right style="thin">
        <color theme="0" tint="-0.14999847407452621"/>
      </right>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right/>
      <top style="thick">
        <color theme="4" tint="0.499984740745262"/>
      </top>
      <bottom/>
      <diagonal/>
    </border>
    <border>
      <left style="thin">
        <color indexed="64"/>
      </left>
      <right/>
      <top style="thick">
        <color theme="4"/>
      </top>
      <bottom/>
      <diagonal/>
    </border>
    <border>
      <left/>
      <right/>
      <top style="thick">
        <color theme="4"/>
      </top>
      <bottom/>
      <diagonal/>
    </border>
    <border>
      <left/>
      <right style="thin">
        <color rgb="FF3F3F3F"/>
      </right>
      <top style="thin">
        <color rgb="FF3F3F3F"/>
      </top>
      <bottom style="thin">
        <color rgb="FF3F3F3F"/>
      </bottom>
      <diagonal/>
    </border>
    <border>
      <left style="thin">
        <color rgb="FF3F3F3F"/>
      </left>
      <right style="thin">
        <color rgb="FF3F3F3F"/>
      </right>
      <top/>
      <bottom style="thin">
        <color rgb="FF3F3F3F"/>
      </bottom>
      <diagonal/>
    </border>
    <border>
      <left/>
      <right style="thin">
        <color rgb="FF3F3F3F"/>
      </right>
      <top/>
      <bottom style="thin">
        <color rgb="FF3F3F3F"/>
      </bottom>
      <diagonal/>
    </border>
    <border>
      <left/>
      <right style="thin">
        <color rgb="FF7F7F7F"/>
      </right>
      <top style="thin">
        <color rgb="FF7F7F7F"/>
      </top>
      <bottom style="thin">
        <color rgb="FF7F7F7F"/>
      </bottom>
      <diagonal/>
    </border>
    <border>
      <left/>
      <right/>
      <top style="thick">
        <color theme="4"/>
      </top>
      <bottom style="thin">
        <color indexed="64"/>
      </bottom>
      <diagonal/>
    </border>
    <border>
      <left/>
      <right style="double">
        <color indexed="64"/>
      </right>
      <top style="thick">
        <color theme="4"/>
      </top>
      <bottom/>
      <diagonal/>
    </border>
    <border>
      <left style="thin">
        <color rgb="FF3F3F3F"/>
      </left>
      <right style="thin">
        <color rgb="FF3F3F3F"/>
      </right>
      <top style="thin">
        <color rgb="FF3F3F3F"/>
      </top>
      <bottom/>
      <diagonal/>
    </border>
    <border>
      <left/>
      <right style="thin">
        <color rgb="FF7F7F7F"/>
      </right>
      <top/>
      <bottom style="thin">
        <color rgb="FF7F7F7F"/>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style="double">
        <color indexed="64"/>
      </left>
      <right style="double">
        <color indexed="64"/>
      </right>
      <top style="thin">
        <color rgb="FF3F3F3F"/>
      </top>
      <bottom style="thin">
        <color rgb="FF3F3F3F"/>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right style="double">
        <color indexed="64"/>
      </right>
      <top style="medium">
        <color theme="4" tint="0.39997558519241921"/>
      </top>
      <bottom/>
      <diagonal/>
    </border>
    <border>
      <left style="double">
        <color indexed="64"/>
      </left>
      <right style="double">
        <color indexed="64"/>
      </right>
      <top style="thin">
        <color rgb="FF7F7F7F"/>
      </top>
      <bottom style="thin">
        <color rgb="FF7F7F7F"/>
      </bottom>
      <diagonal/>
    </border>
    <border>
      <left style="double">
        <color indexed="64"/>
      </left>
      <right style="double">
        <color indexed="64"/>
      </right>
      <top/>
      <bottom style="thin">
        <color indexed="64"/>
      </bottom>
      <diagonal/>
    </border>
    <border>
      <left style="double">
        <color indexed="64"/>
      </left>
      <right style="double">
        <color indexed="64"/>
      </right>
      <top/>
      <bottom style="thin">
        <color rgb="FF3F3F3F"/>
      </bottom>
      <diagonal/>
    </border>
    <border>
      <left style="double">
        <color indexed="64"/>
      </left>
      <right style="double">
        <color indexed="64"/>
      </right>
      <top style="thick">
        <color theme="4" tint="0.499984740745262"/>
      </top>
      <bottom style="thin">
        <color rgb="FF3F3F3F"/>
      </bottom>
      <diagonal/>
    </border>
    <border>
      <left style="double">
        <color indexed="64"/>
      </left>
      <right style="double">
        <color indexed="64"/>
      </right>
      <top/>
      <bottom style="thin">
        <color rgb="FF7F7F7F"/>
      </bottom>
      <diagonal/>
    </border>
    <border>
      <left style="thin">
        <color indexed="64"/>
      </left>
      <right style="thin">
        <color indexed="64"/>
      </right>
      <top style="medium">
        <color indexed="64"/>
      </top>
      <bottom style="thin">
        <color indexed="64"/>
      </bottom>
      <diagonal/>
    </border>
    <border>
      <left style="double">
        <color indexed="64"/>
      </left>
      <right style="double">
        <color indexed="64"/>
      </right>
      <top style="medium">
        <color indexed="64"/>
      </top>
      <bottom style="thin">
        <color rgb="FF3F3F3F"/>
      </bottom>
      <diagonal/>
    </border>
    <border>
      <left style="double">
        <color indexed="64"/>
      </left>
      <right style="double">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double">
        <color indexed="64"/>
      </left>
      <right style="double">
        <color indexed="64"/>
      </right>
      <top style="thin">
        <color rgb="FF3F3F3F"/>
      </top>
      <bottom style="medium">
        <color indexed="64"/>
      </bottom>
      <diagonal/>
    </border>
    <border>
      <left style="thin">
        <color rgb="FF7F7F7F"/>
      </left>
      <right style="thin">
        <color rgb="FF7F7F7F"/>
      </right>
      <top style="medium">
        <color indexed="64"/>
      </top>
      <bottom style="thin">
        <color rgb="FF7F7F7F"/>
      </bottom>
      <diagonal/>
    </border>
    <border>
      <left style="double">
        <color indexed="64"/>
      </left>
      <right style="double">
        <color indexed="64"/>
      </right>
      <top/>
      <bottom style="medium">
        <color indexed="64"/>
      </bottom>
      <diagonal/>
    </border>
    <border>
      <left/>
      <right style="double">
        <color indexed="64"/>
      </right>
      <top style="medium">
        <color indexed="64"/>
      </top>
      <bottom style="medium">
        <color indexed="64"/>
      </bottom>
      <diagonal/>
    </border>
    <border>
      <left style="double">
        <color indexed="64"/>
      </left>
      <right style="double">
        <color indexed="64"/>
      </right>
      <top style="thin">
        <color rgb="FF7F7F7F"/>
      </top>
      <bottom style="medium">
        <color indexed="64"/>
      </bottom>
      <diagonal/>
    </border>
    <border>
      <left/>
      <right/>
      <top style="medium">
        <color indexed="64"/>
      </top>
      <bottom style="medium">
        <color indexed="64"/>
      </bottom>
      <diagonal/>
    </border>
    <border>
      <left/>
      <right/>
      <top style="thick">
        <color theme="4"/>
      </top>
      <bottom style="medium">
        <color indexed="64"/>
      </bottom>
      <diagonal/>
    </border>
    <border>
      <left style="thin">
        <color rgb="FF7F7F7F"/>
      </left>
      <right style="thin">
        <color rgb="FF7F7F7F"/>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theme="4" tint="0.39997558519241921"/>
      </top>
      <bottom/>
      <diagonal/>
    </border>
    <border>
      <left/>
      <right style="thin">
        <color rgb="FF3F3F3F"/>
      </right>
      <top/>
      <bottom/>
      <diagonal/>
    </border>
    <border>
      <left/>
      <right style="thin">
        <color rgb="FF3F3F3F"/>
      </right>
      <top/>
      <bottom style="hair">
        <color indexed="64"/>
      </bottom>
      <diagonal/>
    </border>
    <border>
      <left/>
      <right style="thin">
        <color rgb="FF3F3F3F"/>
      </right>
      <top style="hair">
        <color indexed="64"/>
      </top>
      <bottom style="hair">
        <color indexed="64"/>
      </bottom>
      <diagonal/>
    </border>
    <border>
      <left/>
      <right/>
      <top style="hair">
        <color indexed="64"/>
      </top>
      <bottom style="thin">
        <color indexed="64"/>
      </bottom>
      <diagonal/>
    </border>
    <border>
      <left/>
      <right style="thin">
        <color rgb="FF3F3F3F"/>
      </right>
      <top style="hair">
        <color indexed="64"/>
      </top>
      <bottom style="thin">
        <color indexed="64"/>
      </bottom>
      <diagonal/>
    </border>
    <border>
      <left style="thin">
        <color rgb="FF3F3F3F"/>
      </left>
      <right style="thin">
        <color rgb="FF3F3F3F"/>
      </right>
      <top style="thin">
        <color indexed="64"/>
      </top>
      <bottom style="hair">
        <color indexed="64"/>
      </bottom>
      <diagonal/>
    </border>
    <border>
      <left style="thin">
        <color rgb="FF3F3F3F"/>
      </left>
      <right/>
      <top/>
      <bottom style="thin">
        <color rgb="FF3F3F3F"/>
      </bottom>
      <diagonal/>
    </border>
    <border>
      <left/>
      <right/>
      <top/>
      <bottom style="thin">
        <color rgb="FF3F3F3F"/>
      </bottom>
      <diagonal/>
    </border>
    <border>
      <left style="thin">
        <color rgb="FF3F3F3F"/>
      </left>
      <right style="thin">
        <color rgb="FF3F3F3F"/>
      </right>
      <top style="hair">
        <color indexed="64"/>
      </top>
      <bottom style="hair">
        <color indexed="64"/>
      </bottom>
      <diagonal/>
    </border>
    <border>
      <left style="thin">
        <color rgb="FF3F3F3F"/>
      </left>
      <right/>
      <top style="hair">
        <color indexed="64"/>
      </top>
      <bottom style="hair">
        <color indexed="64"/>
      </bottom>
      <diagonal/>
    </border>
    <border>
      <left style="thin">
        <color rgb="FF3F3F3F"/>
      </left>
      <right style="thin">
        <color rgb="FF3F3F3F"/>
      </right>
      <top style="thin">
        <color rgb="FF3F3F3F"/>
      </top>
      <bottom style="hair">
        <color indexed="64"/>
      </bottom>
      <diagonal/>
    </border>
    <border>
      <left style="thin">
        <color indexed="64"/>
      </left>
      <right style="thin">
        <color rgb="FF3F3F3F"/>
      </right>
      <top style="hair">
        <color indexed="64"/>
      </top>
      <bottom style="hair">
        <color indexed="64"/>
      </bottom>
      <diagonal/>
    </border>
    <border>
      <left style="thin">
        <color rgb="FF3F3F3F"/>
      </left>
      <right style="thin">
        <color indexed="64"/>
      </right>
      <top style="hair">
        <color indexed="64"/>
      </top>
      <bottom style="hair">
        <color indexed="64"/>
      </bottom>
      <diagonal/>
    </border>
    <border>
      <left/>
      <right/>
      <top style="thin">
        <color rgb="FF3F3F3F"/>
      </top>
      <bottom style="thin">
        <color indexed="64"/>
      </bottom>
      <diagonal/>
    </border>
    <border>
      <left style="thin">
        <color rgb="FF3F3F3F"/>
      </left>
      <right style="thin">
        <color rgb="FF3F3F3F"/>
      </right>
      <top/>
      <bottom/>
      <diagonal/>
    </border>
    <border>
      <left style="thin">
        <color rgb="FF3F3F3F"/>
      </left>
      <right/>
      <top style="hair">
        <color indexed="64"/>
      </top>
      <bottom/>
      <diagonal/>
    </border>
    <border>
      <left/>
      <right style="thin">
        <color rgb="FF3F3F3F"/>
      </right>
      <top style="hair">
        <color indexed="64"/>
      </top>
      <bottom/>
      <diagonal/>
    </border>
    <border>
      <left/>
      <right style="thin">
        <color indexed="64"/>
      </right>
      <top style="hair">
        <color indexed="64"/>
      </top>
      <bottom style="hair">
        <color indexed="64"/>
      </bottom>
      <diagonal/>
    </border>
    <border>
      <left style="thin">
        <color rgb="FF3F3F3F"/>
      </left>
      <right/>
      <top style="hair">
        <color indexed="64"/>
      </top>
      <bottom style="thin">
        <color rgb="FF3F3F3F"/>
      </bottom>
      <diagonal/>
    </border>
    <border>
      <left/>
      <right/>
      <top style="hair">
        <color indexed="64"/>
      </top>
      <bottom style="thin">
        <color rgb="FF3F3F3F"/>
      </bottom>
      <diagonal/>
    </border>
    <border>
      <left/>
      <right style="thin">
        <color rgb="FF3F3F3F"/>
      </right>
      <top style="hair">
        <color indexed="64"/>
      </top>
      <bottom style="thin">
        <color rgb="FF3F3F3F"/>
      </bottom>
      <diagonal/>
    </border>
    <border>
      <left style="thin">
        <color rgb="FF3F3F3F"/>
      </left>
      <right/>
      <top/>
      <bottom/>
      <diagonal/>
    </border>
    <border>
      <left style="thin">
        <color rgb="FF3F3F3F"/>
      </left>
      <right style="thin">
        <color rgb="FF3F3F3F"/>
      </right>
      <top/>
      <bottom style="hair">
        <color indexed="64"/>
      </bottom>
      <diagonal/>
    </border>
    <border>
      <left/>
      <right/>
      <top/>
      <bottom style="thin">
        <color rgb="FF7F7F7F"/>
      </bottom>
      <diagonal/>
    </border>
    <border>
      <left/>
      <right style="thin">
        <color indexed="64"/>
      </right>
      <top style="thin">
        <color indexed="64"/>
      </top>
      <bottom/>
      <diagonal/>
    </border>
    <border>
      <left style="double">
        <color indexed="64"/>
      </left>
      <right style="thin">
        <color indexed="64"/>
      </right>
      <top/>
      <bottom/>
      <diagonal/>
    </border>
    <border>
      <left style="thin">
        <color indexed="64"/>
      </left>
      <right style="thin">
        <color rgb="FF7F7F7F"/>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style="thin">
        <color rgb="FF3F3F3F"/>
      </right>
      <top style="thin">
        <color rgb="FF3F3F3F"/>
      </top>
      <bottom style="thin">
        <color rgb="FF3F3F3F"/>
      </bottom>
      <diagonal/>
    </border>
    <border>
      <left style="thin">
        <color rgb="FF3F3F3F"/>
      </left>
      <right style="thin">
        <color rgb="FF3F3F3F"/>
      </right>
      <top/>
      <bottom style="thin">
        <color indexed="64"/>
      </bottom>
      <diagonal/>
    </border>
    <border>
      <left/>
      <right style="thin">
        <color rgb="FF3F3F3F"/>
      </right>
      <top/>
      <bottom style="thin">
        <color indexed="64"/>
      </bottom>
      <diagonal/>
    </border>
    <border>
      <left/>
      <right style="hair">
        <color indexed="64"/>
      </right>
      <top style="hair">
        <color indexed="64"/>
      </top>
      <bottom style="hair">
        <color indexed="64"/>
      </bottom>
      <diagonal/>
    </border>
    <border>
      <left style="thin">
        <color rgb="FF3F3F3F"/>
      </left>
      <right/>
      <top style="thin">
        <color rgb="FF3F3F3F"/>
      </top>
      <bottom style="thin">
        <color indexed="64"/>
      </bottom>
      <diagonal/>
    </border>
    <border>
      <left/>
      <right style="thin">
        <color rgb="FF3F3F3F"/>
      </right>
      <top style="thin">
        <color rgb="FF3F3F3F"/>
      </top>
      <bottom style="thin">
        <color indexed="64"/>
      </bottom>
      <diagonal/>
    </border>
    <border>
      <left style="thin">
        <color rgb="FF3F3F3F"/>
      </left>
      <right style="thin">
        <color rgb="FF3F3F3F"/>
      </right>
      <top style="thin">
        <color rgb="FF3F3F3F"/>
      </top>
      <bottom style="thin">
        <color indexed="64"/>
      </bottom>
      <diagonal/>
    </border>
    <border>
      <left style="thin">
        <color indexed="64"/>
      </left>
      <right/>
      <top style="thin">
        <color rgb="FF3F3F3F"/>
      </top>
      <bottom style="thin">
        <color indexed="64"/>
      </bottom>
      <diagonal/>
    </border>
    <border>
      <left/>
      <right style="thin">
        <color indexed="64"/>
      </right>
      <top style="thick">
        <color theme="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double">
        <color indexed="64"/>
      </right>
      <top style="medium">
        <color indexed="64"/>
      </top>
      <bottom/>
      <diagonal/>
    </border>
    <border>
      <left style="thin">
        <color rgb="FF7F7F7F"/>
      </left>
      <right/>
      <top/>
      <bottom style="thin">
        <color rgb="FF7F7F7F"/>
      </bottom>
      <diagonal/>
    </border>
    <border>
      <left style="thin">
        <color rgb="FF7F7F7F"/>
      </left>
      <right/>
      <top style="thin">
        <color rgb="FF7F7F7F"/>
      </top>
      <bottom style="thin">
        <color rgb="FF7F7F7F"/>
      </bottom>
      <diagonal/>
    </border>
    <border>
      <left/>
      <right/>
      <top style="double">
        <color rgb="FFFF8001"/>
      </top>
      <bottom/>
      <diagonal/>
    </border>
    <border>
      <left/>
      <right style="hair">
        <color indexed="64"/>
      </right>
      <top/>
      <bottom/>
      <diagonal/>
    </border>
    <border>
      <left/>
      <right style="hair">
        <color indexed="64"/>
      </right>
      <top/>
      <bottom style="double">
        <color rgb="FFFF8001"/>
      </bottom>
      <diagonal/>
    </border>
    <border>
      <left/>
      <right style="hair">
        <color indexed="64"/>
      </right>
      <top style="medium">
        <color indexed="64"/>
      </top>
      <bottom style="double">
        <color rgb="FFFF8001"/>
      </bottom>
      <diagonal/>
    </border>
    <border>
      <left/>
      <right style="double">
        <color indexed="64"/>
      </right>
      <top/>
      <bottom style="thin">
        <color rgb="FF7F7F7F"/>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ck">
        <color theme="4"/>
      </top>
      <bottom style="thin">
        <color indexed="64"/>
      </bottom>
      <diagonal/>
    </border>
    <border>
      <left/>
      <right style="thin">
        <color rgb="FF7F7F7F"/>
      </right>
      <top style="medium">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rgb="FF3F3F3F"/>
      </right>
      <top/>
      <bottom style="hair">
        <color indexed="64"/>
      </bottom>
      <diagonal/>
    </border>
    <border>
      <left style="double">
        <color indexed="64"/>
      </left>
      <right/>
      <top style="medium">
        <color theme="4" tint="0.39997558519241921"/>
      </top>
      <bottom/>
      <diagonal/>
    </border>
    <border>
      <left style="double">
        <color indexed="64"/>
      </left>
      <right style="double">
        <color indexed="64"/>
      </right>
      <top style="thin">
        <color indexed="64"/>
      </top>
      <bottom style="medium">
        <color indexed="64"/>
      </bottom>
      <diagonal/>
    </border>
    <border>
      <left/>
      <right/>
      <top style="thick">
        <color theme="4" tint="0.499984740745262"/>
      </top>
      <bottom style="medium">
        <color indexed="64"/>
      </bottom>
      <diagonal/>
    </border>
    <border>
      <left/>
      <right/>
      <top style="thin">
        <color rgb="FF7F7F7F"/>
      </top>
      <bottom style="medium">
        <color indexed="64"/>
      </bottom>
      <diagonal/>
    </border>
    <border>
      <left style="thin">
        <color rgb="FF3F3F3F"/>
      </left>
      <right style="thin">
        <color indexed="64"/>
      </right>
      <top/>
      <bottom style="thin">
        <color indexed="64"/>
      </bottom>
      <diagonal/>
    </border>
    <border>
      <left/>
      <right style="double">
        <color indexed="64"/>
      </right>
      <top style="thin">
        <color rgb="FF3F3F3F"/>
      </top>
      <bottom style="thin">
        <color indexed="64"/>
      </bottom>
      <diagonal/>
    </border>
    <border>
      <left/>
      <right style="double">
        <color indexed="64"/>
      </right>
      <top/>
      <bottom style="thin">
        <color rgb="FF3F3F3F"/>
      </bottom>
      <diagonal/>
    </border>
    <border>
      <left style="thin">
        <color rgb="FF7F7F7F"/>
      </left>
      <right style="thin">
        <color rgb="FF7F7F7F"/>
      </right>
      <top/>
      <bottom style="medium">
        <color indexed="64"/>
      </bottom>
      <diagonal/>
    </border>
    <border>
      <left style="double">
        <color indexed="64"/>
      </left>
      <right style="double">
        <color indexed="64"/>
      </right>
      <top style="medium">
        <color indexed="64"/>
      </top>
      <bottom style="thin">
        <color indexed="64"/>
      </bottom>
      <diagonal/>
    </border>
    <border>
      <left/>
      <right/>
      <top style="thin">
        <color indexed="64"/>
      </top>
      <bottom style="medium">
        <color theme="4" tint="0.39997558519241921"/>
      </bottom>
      <diagonal/>
    </border>
    <border>
      <left/>
      <right/>
      <top style="thin">
        <color rgb="FF7F7F7F"/>
      </top>
      <bottom style="medium">
        <color theme="4" tint="0.39997558519241921"/>
      </bottom>
      <diagonal/>
    </border>
    <border>
      <left/>
      <right/>
      <top style="thin">
        <color rgb="FF3F3F3F"/>
      </top>
      <bottom style="medium">
        <color theme="4" tint="0.39997558519241921"/>
      </bottom>
      <diagonal/>
    </border>
    <border>
      <left style="thin">
        <color rgb="FF3F3F3F"/>
      </left>
      <right/>
      <top style="thin">
        <color indexed="64"/>
      </top>
      <bottom style="hair">
        <color indexed="64"/>
      </bottom>
      <diagonal/>
    </border>
    <border>
      <left/>
      <right/>
      <top style="thin">
        <color indexed="64"/>
      </top>
      <bottom style="hair">
        <color indexed="64"/>
      </bottom>
      <diagonal/>
    </border>
    <border>
      <left/>
      <right style="thin">
        <color rgb="FF3F3F3F"/>
      </right>
      <top style="thin">
        <color indexed="64"/>
      </top>
      <bottom style="hair">
        <color indexed="64"/>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indexed="64"/>
      </right>
      <top style="thin">
        <color rgb="FF3F3F3F"/>
      </top>
      <bottom style="thin">
        <color indexed="64"/>
      </bottom>
      <diagonal/>
    </border>
    <border>
      <left/>
      <right style="double">
        <color indexed="64"/>
      </right>
      <top/>
      <bottom style="medium">
        <color indexed="64"/>
      </bottom>
      <diagonal/>
    </border>
    <border>
      <left style="thin">
        <color indexed="64"/>
      </left>
      <right style="double">
        <color indexed="64"/>
      </right>
      <top/>
      <bottom style="medium">
        <color indexed="64"/>
      </bottom>
      <diagonal/>
    </border>
    <border>
      <left/>
      <right/>
      <top style="thin">
        <color rgb="FF3F3F3F"/>
      </top>
      <bottom/>
      <diagonal/>
    </border>
    <border>
      <left/>
      <right/>
      <top style="medium">
        <color indexed="64"/>
      </top>
      <bottom style="thin">
        <color rgb="FF7F7F7F"/>
      </bottom>
      <diagonal/>
    </border>
    <border>
      <left/>
      <right/>
      <top style="thick">
        <color theme="4"/>
      </top>
      <bottom style="thin">
        <color rgb="FF3F3F3F"/>
      </bottom>
      <diagonal/>
    </border>
    <border>
      <left/>
      <right/>
      <top style="thick">
        <color theme="4" tint="0.499984740745262"/>
      </top>
      <bottom style="thin">
        <color rgb="FF3F3F3F"/>
      </bottom>
      <diagonal/>
    </border>
    <border>
      <left/>
      <right/>
      <top style="thick">
        <color theme="4"/>
      </top>
      <bottom style="thin">
        <color rgb="FF7F7F7F"/>
      </bottom>
      <diagonal/>
    </border>
    <border>
      <left/>
      <right style="thin">
        <color indexed="64"/>
      </right>
      <top style="thick">
        <color theme="4"/>
      </top>
      <bottom/>
      <diagonal/>
    </border>
    <border>
      <left/>
      <right/>
      <top style="thick">
        <color theme="4" tint="0.499984740745262"/>
      </top>
      <bottom style="thin">
        <color rgb="FF7F7F7F"/>
      </bottom>
      <diagonal/>
    </border>
    <border>
      <left/>
      <right/>
      <top style="thick">
        <color theme="4" tint="0.499984740745262"/>
      </top>
      <bottom style="thin">
        <color indexed="64"/>
      </bottom>
      <diagonal/>
    </border>
    <border>
      <left style="thin">
        <color indexed="64"/>
      </left>
      <right/>
      <top style="hair">
        <color indexed="64"/>
      </top>
      <bottom style="hair">
        <color indexed="64"/>
      </bottom>
      <diagonal/>
    </border>
    <border>
      <left/>
      <right/>
      <top style="thin">
        <color theme="4"/>
      </top>
      <bottom style="double">
        <color theme="4"/>
      </bottom>
      <diagonal/>
    </border>
    <border>
      <left style="thin">
        <color rgb="FF3F3F3F"/>
      </left>
      <right style="thin">
        <color rgb="FF3F3F3F"/>
      </right>
      <top style="thin">
        <color rgb="FF3F3F3F"/>
      </top>
      <bottom style="medium">
        <color indexed="64"/>
      </bottom>
      <diagonal/>
    </border>
    <border>
      <left style="thin">
        <color rgb="FF3F3F3F"/>
      </left>
      <right style="thin">
        <color rgb="FF3F3F3F"/>
      </right>
      <top style="medium">
        <color indexed="64"/>
      </top>
      <bottom style="thin">
        <color rgb="FF3F3F3F"/>
      </bottom>
      <diagonal/>
    </border>
    <border>
      <left style="thin">
        <color indexed="64"/>
      </left>
      <right style="thin">
        <color indexed="64"/>
      </right>
      <top/>
      <bottom style="medium">
        <color indexed="64"/>
      </bottom>
      <diagonal/>
    </border>
    <border>
      <left style="thin">
        <color rgb="FF3F3F3F"/>
      </left>
      <right style="thin">
        <color rgb="FF3F3F3F"/>
      </right>
      <top/>
      <bottom style="medium">
        <color indexed="64"/>
      </bottom>
      <diagonal/>
    </border>
    <border>
      <left style="thin">
        <color indexed="64"/>
      </left>
      <right style="thin">
        <color indexed="64"/>
      </right>
      <top/>
      <bottom/>
      <diagonal/>
    </border>
    <border>
      <left style="thin">
        <color indexed="64"/>
      </left>
      <right style="thin">
        <color rgb="FF7F7F7F"/>
      </right>
      <top style="thin">
        <color indexed="64"/>
      </top>
      <bottom style="thin">
        <color indexed="64"/>
      </bottom>
      <diagonal/>
    </border>
    <border>
      <left style="thin">
        <color indexed="64"/>
      </left>
      <right/>
      <top style="medium">
        <color theme="4" tint="0.39997558519241921"/>
      </top>
      <bottom style="thin">
        <color indexed="64"/>
      </bottom>
      <diagonal/>
    </border>
    <border>
      <left/>
      <right/>
      <top style="medium">
        <color theme="4" tint="0.39997558519241921"/>
      </top>
      <bottom style="thin">
        <color indexed="64"/>
      </bottom>
      <diagonal/>
    </border>
    <border>
      <left/>
      <right style="thin">
        <color indexed="64"/>
      </right>
      <top style="medium">
        <color theme="4" tint="0.39997558519241921"/>
      </top>
      <bottom style="thin">
        <color indexed="64"/>
      </bottom>
      <diagonal/>
    </border>
    <border>
      <left style="thin">
        <color rgb="FF7F7F7F"/>
      </left>
      <right style="double">
        <color indexed="64"/>
      </right>
      <top style="thin">
        <color rgb="FF7F7F7F"/>
      </top>
      <bottom/>
      <diagonal/>
    </border>
    <border>
      <left style="thin">
        <color rgb="FF7F7F7F"/>
      </left>
      <right style="double">
        <color indexed="64"/>
      </right>
      <top style="medium">
        <color indexed="64"/>
      </top>
      <bottom style="thin">
        <color rgb="FF7F7F7F"/>
      </bottom>
      <diagonal/>
    </border>
    <border>
      <left/>
      <right style="double">
        <color indexed="64"/>
      </right>
      <top style="thick">
        <color theme="4"/>
      </top>
      <bottom style="medium">
        <color indexed="64"/>
      </bottom>
      <diagonal/>
    </border>
    <border>
      <left/>
      <right style="double">
        <color indexed="64"/>
      </right>
      <top/>
      <bottom style="thick">
        <color theme="4"/>
      </bottom>
      <diagonal/>
    </border>
    <border>
      <left/>
      <right style="double">
        <color indexed="64"/>
      </right>
      <top/>
      <bottom style="medium">
        <color theme="4" tint="0.39997558519241921"/>
      </bottom>
      <diagonal/>
    </border>
    <border>
      <left/>
      <right style="double">
        <color indexed="64"/>
      </right>
      <top/>
      <bottom style="thick">
        <color theme="4" tint="0.499984740745262"/>
      </bottom>
      <diagonal/>
    </border>
    <border>
      <left/>
      <right style="double">
        <color indexed="64"/>
      </right>
      <top style="thick">
        <color theme="4"/>
      </top>
      <bottom style="thin">
        <color indexed="64"/>
      </bottom>
      <diagonal/>
    </border>
    <border>
      <left style="double">
        <color indexed="64"/>
      </left>
      <right style="double">
        <color indexed="64"/>
      </right>
      <top style="double">
        <color indexed="64"/>
      </top>
      <bottom/>
      <diagonal/>
    </border>
    <border>
      <left/>
      <right style="double">
        <color indexed="64"/>
      </right>
      <top style="thick">
        <color theme="4"/>
      </top>
      <bottom style="thin">
        <color rgb="FF3F3F3F"/>
      </bottom>
      <diagonal/>
    </border>
    <border>
      <left/>
      <right style="double">
        <color indexed="64"/>
      </right>
      <top style="thin">
        <color rgb="FF3F3F3F"/>
      </top>
      <bottom/>
      <diagonal/>
    </border>
    <border>
      <left/>
      <right style="double">
        <color indexed="64"/>
      </right>
      <top style="thin">
        <color rgb="FF3F3F3F"/>
      </top>
      <bottom style="medium">
        <color theme="4" tint="0.39997558519241921"/>
      </bottom>
      <diagonal/>
    </border>
    <border>
      <left/>
      <right/>
      <top style="thin">
        <color rgb="FF7F7F7F"/>
      </top>
      <bottom/>
      <diagonal/>
    </border>
    <border>
      <left/>
      <right style="thin">
        <color rgb="FF7F7F7F"/>
      </right>
      <top style="medium">
        <color indexed="64"/>
      </top>
      <bottom style="thin">
        <color rgb="FF7F7F7F"/>
      </bottom>
      <diagonal/>
    </border>
    <border>
      <left/>
      <right style="thin">
        <color rgb="FF7F7F7F"/>
      </right>
      <top style="thin">
        <color indexed="64"/>
      </top>
      <bottom style="thin">
        <color rgb="FF7F7F7F"/>
      </bottom>
      <diagonal/>
    </border>
    <border>
      <left/>
      <right style="double">
        <color indexed="64"/>
      </right>
      <top style="thin">
        <color rgb="FF7F7F7F"/>
      </top>
      <bottom style="medium">
        <color indexed="64"/>
      </bottom>
      <diagonal/>
    </border>
    <border>
      <left style="thin">
        <color indexed="64"/>
      </left>
      <right style="thin">
        <color indexed="64"/>
      </right>
      <top style="thin">
        <color rgb="FF3F3F3F"/>
      </top>
      <bottom style="thin">
        <color indexed="64"/>
      </bottom>
      <diagonal/>
    </border>
    <border>
      <left style="thin">
        <color indexed="64"/>
      </left>
      <right style="thin">
        <color indexed="64"/>
      </right>
      <top style="thin">
        <color rgb="FF3F3F3F"/>
      </top>
      <bottom style="thin">
        <color rgb="FF3F3F3F"/>
      </bottom>
      <diagonal/>
    </border>
    <border>
      <left style="thin">
        <color rgb="FF7F7F7F"/>
      </left>
      <right style="thin">
        <color theme="0" tint="-0.34998626667073579"/>
      </right>
      <top style="thin">
        <color rgb="FF7F7F7F"/>
      </top>
      <bottom style="medium">
        <color indexed="64"/>
      </bottom>
      <diagonal/>
    </border>
    <border>
      <left style="thin">
        <color theme="0" tint="-0.34998626667073579"/>
      </left>
      <right style="thin">
        <color theme="0" tint="-0.34998626667073579"/>
      </right>
      <top style="thin">
        <color rgb="FF7F7F7F"/>
      </top>
      <bottom style="medium">
        <color indexed="64"/>
      </bottom>
      <diagonal/>
    </border>
    <border>
      <left style="thin">
        <color rgb="FF7F7F7F"/>
      </left>
      <right style="thin">
        <color theme="0" tint="-0.34998626667073579"/>
      </right>
      <top style="thick">
        <color theme="4" tint="0.499984740745262"/>
      </top>
      <bottom style="thin">
        <color rgb="FF7F7F7F"/>
      </bottom>
      <diagonal/>
    </border>
    <border>
      <left/>
      <right style="thin">
        <color theme="0" tint="-0.34998626667073579"/>
      </right>
      <top style="thin">
        <color rgb="FF7F7F7F"/>
      </top>
      <bottom style="medium">
        <color indexed="64"/>
      </bottom>
      <diagonal/>
    </border>
    <border>
      <left style="thin">
        <color theme="0" tint="-0.34998626667073579"/>
      </left>
      <right style="thin">
        <color theme="0" tint="-0.34998626667073579"/>
      </right>
      <top style="thick">
        <color theme="4" tint="0.499984740745262"/>
      </top>
      <bottom style="thin">
        <color rgb="FF7F7F7F"/>
      </bottom>
      <diagonal/>
    </border>
    <border>
      <left style="double">
        <color indexed="64"/>
      </left>
      <right/>
      <top style="medium">
        <color indexed="64"/>
      </top>
      <bottom/>
      <diagonal/>
    </border>
    <border>
      <left style="thin">
        <color rgb="FF7F7F7F"/>
      </left>
      <right/>
      <top style="medium">
        <color indexed="64"/>
      </top>
      <bottom style="thin">
        <color rgb="FF7F7F7F"/>
      </bottom>
      <diagonal/>
    </border>
    <border>
      <left style="thin">
        <color rgb="FF7F7F7F"/>
      </left>
      <right/>
      <top style="thin">
        <color rgb="FF7F7F7F"/>
      </top>
      <bottom/>
      <diagonal/>
    </border>
    <border>
      <left style="thin">
        <color rgb="FF7F7F7F"/>
      </left>
      <right style="double">
        <color indexed="64"/>
      </right>
      <top style="thin">
        <color rgb="FF7F7F7F"/>
      </top>
      <bottom style="medium">
        <color indexed="64"/>
      </bottom>
      <diagonal/>
    </border>
    <border>
      <left style="thin">
        <color rgb="FF7F7F7F"/>
      </left>
      <right style="double">
        <color indexed="64"/>
      </right>
      <top style="medium">
        <color indexed="64"/>
      </top>
      <bottom/>
      <diagonal/>
    </border>
  </borders>
  <cellStyleXfs count="41">
    <xf numFmtId="0" fontId="0" fillId="0" borderId="0"/>
    <xf numFmtId="9" fontId="5"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2" fillId="2" borderId="1" applyNumberFormat="0" applyFon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2" fillId="6" borderId="0" applyNumberFormat="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5" fillId="0" borderId="0"/>
    <xf numFmtId="44" fontId="13" fillId="0" borderId="0" applyFont="0" applyFill="0" applyBorder="0" applyAlignment="0" applyProtection="0"/>
    <xf numFmtId="0" fontId="14" fillId="0" borderId="6" applyNumberFormat="0" applyFill="0" applyAlignment="0" applyProtection="0"/>
    <xf numFmtId="0" fontId="27" fillId="0" borderId="31" applyNumberFormat="0" applyFill="0" applyAlignment="0" applyProtection="0"/>
    <xf numFmtId="0" fontId="28" fillId="0" borderId="32" applyNumberFormat="0" applyFill="0" applyAlignment="0" applyProtection="0"/>
    <xf numFmtId="0" fontId="29" fillId="14" borderId="33" applyNumberFormat="0" applyAlignment="0" applyProtection="0"/>
    <xf numFmtId="0" fontId="30" fillId="15" borderId="34" applyNumberFormat="0" applyAlignment="0" applyProtection="0"/>
    <xf numFmtId="0" fontId="31" fillId="15" borderId="33" applyNumberFormat="0" applyAlignment="0" applyProtection="0"/>
    <xf numFmtId="0" fontId="32" fillId="0" borderId="35"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6"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56" fillId="0" borderId="0" applyNumberFormat="0" applyFill="0" applyBorder="0" applyAlignment="0" applyProtection="0"/>
    <xf numFmtId="0" fontId="28" fillId="0" borderId="0" applyNumberFormat="0" applyFill="0" applyBorder="0" applyAlignment="0" applyProtection="0"/>
    <xf numFmtId="0" fontId="95" fillId="0" borderId="0" applyNumberFormat="0" applyFill="0" applyBorder="0" applyAlignment="0" applyProtection="0"/>
    <xf numFmtId="0" fontId="35" fillId="0" borderId="168" applyNumberFormat="0" applyFill="0" applyAlignment="0" applyProtection="0"/>
  </cellStyleXfs>
  <cellXfs count="979">
    <xf numFmtId="0" fontId="0" fillId="0" borderId="0" xfId="0"/>
    <xf numFmtId="0" fontId="6" fillId="0" borderId="0" xfId="0" applyFont="1"/>
    <xf numFmtId="0" fontId="5" fillId="0" borderId="0" xfId="0" applyFont="1"/>
    <xf numFmtId="0" fontId="6" fillId="0" borderId="0" xfId="0" applyFont="1" applyAlignment="1">
      <alignment wrapText="1"/>
    </xf>
    <xf numFmtId="0" fontId="15" fillId="0" borderId="0" xfId="18" applyFont="1" applyFill="1" applyBorder="1"/>
    <xf numFmtId="0" fontId="15" fillId="0" borderId="0" xfId="19" applyFont="1" applyFill="1" applyBorder="1"/>
    <xf numFmtId="0" fontId="17" fillId="0" borderId="0" xfId="0" applyFont="1"/>
    <xf numFmtId="0" fontId="18" fillId="0" borderId="0" xfId="0" applyFont="1"/>
    <xf numFmtId="0" fontId="0" fillId="0" borderId="10" xfId="0" applyBorder="1"/>
    <xf numFmtId="0" fontId="0" fillId="0" borderId="0" xfId="0" applyAlignment="1">
      <alignment wrapText="1"/>
    </xf>
    <xf numFmtId="0" fontId="23" fillId="0" borderId="0" xfId="0" applyFont="1"/>
    <xf numFmtId="0" fontId="24" fillId="0" borderId="0" xfId="0" applyFont="1"/>
    <xf numFmtId="0" fontId="25" fillId="0" borderId="0" xfId="0" applyFont="1"/>
    <xf numFmtId="0" fontId="26" fillId="0" borderId="0" xfId="0" applyFont="1"/>
    <xf numFmtId="0" fontId="22" fillId="0" borderId="0" xfId="0" applyFont="1"/>
    <xf numFmtId="6" fontId="19" fillId="0" borderId="0" xfId="0" applyNumberFormat="1" applyFont="1"/>
    <xf numFmtId="165" fontId="6" fillId="0" borderId="0" xfId="0" applyNumberFormat="1" applyFont="1" applyAlignment="1">
      <alignment wrapText="1"/>
    </xf>
    <xf numFmtId="6" fontId="19" fillId="0" borderId="0" xfId="0" applyNumberFormat="1" applyFont="1" applyAlignment="1">
      <alignment wrapText="1"/>
    </xf>
    <xf numFmtId="0" fontId="5" fillId="0" borderId="2" xfId="0" applyFont="1" applyBorder="1" applyAlignment="1">
      <alignment vertical="top" wrapText="1"/>
    </xf>
    <xf numFmtId="0" fontId="32" fillId="0" borderId="35" xfId="31"/>
    <xf numFmtId="0" fontId="38" fillId="0" borderId="0" xfId="0" applyFont="1"/>
    <xf numFmtId="41" fontId="18" fillId="0" borderId="0" xfId="0" applyNumberFormat="1" applyFont="1"/>
    <xf numFmtId="10" fontId="18" fillId="0" borderId="0" xfId="1" applyNumberFormat="1" applyFont="1" applyFill="1" applyBorder="1"/>
    <xf numFmtId="0" fontId="18" fillId="0" borderId="21" xfId="0" applyFont="1" applyBorder="1"/>
    <xf numFmtId="0" fontId="18" fillId="0" borderId="0" xfId="0" applyFont="1" applyAlignment="1">
      <alignment wrapText="1"/>
    </xf>
    <xf numFmtId="41" fontId="17" fillId="0" borderId="0" xfId="0" applyNumberFormat="1" applyFont="1"/>
    <xf numFmtId="41" fontId="30" fillId="15" borderId="34" xfId="29" applyNumberFormat="1" applyAlignment="1">
      <alignment horizontal="right"/>
    </xf>
    <xf numFmtId="41" fontId="30" fillId="15" borderId="34" xfId="29" applyNumberFormat="1"/>
    <xf numFmtId="0" fontId="18" fillId="0" borderId="8" xfId="0" applyFont="1" applyBorder="1"/>
    <xf numFmtId="41" fontId="31" fillId="15" borderId="33" xfId="30" applyNumberFormat="1" applyAlignment="1">
      <alignment horizontal="right"/>
    </xf>
    <xf numFmtId="0" fontId="15" fillId="0" borderId="0" xfId="0" applyFont="1"/>
    <xf numFmtId="0" fontId="15" fillId="0" borderId="22" xfId="0" applyFont="1" applyBorder="1"/>
    <xf numFmtId="0" fontId="32" fillId="11" borderId="35" xfId="31" applyFill="1" applyAlignment="1">
      <alignment vertical="top" wrapText="1"/>
    </xf>
    <xf numFmtId="1" fontId="32" fillId="15" borderId="35" xfId="31" applyNumberFormat="1" applyFill="1" applyAlignment="1">
      <alignment horizontal="center"/>
    </xf>
    <xf numFmtId="1" fontId="43" fillId="0" borderId="22" xfId="0" applyNumberFormat="1" applyFont="1" applyBorder="1" applyAlignment="1">
      <alignment horizontal="center"/>
    </xf>
    <xf numFmtId="0" fontId="41" fillId="0" borderId="22" xfId="0" applyFont="1" applyBorder="1"/>
    <xf numFmtId="41" fontId="31" fillId="15" borderId="33" xfId="30" applyNumberFormat="1" applyAlignment="1">
      <alignment horizontal="center"/>
    </xf>
    <xf numFmtId="1" fontId="43" fillId="0" borderId="0" xfId="0" applyNumberFormat="1" applyFont="1" applyAlignment="1">
      <alignment horizontal="center"/>
    </xf>
    <xf numFmtId="0" fontId="18" fillId="7" borderId="0" xfId="16" applyFont="1" applyFill="1" applyBorder="1" applyAlignment="1"/>
    <xf numFmtId="41" fontId="18" fillId="0" borderId="8" xfId="0" applyNumberFormat="1" applyFont="1" applyBorder="1"/>
    <xf numFmtId="0" fontId="34" fillId="0" borderId="0" xfId="33" applyBorder="1" applyAlignment="1">
      <alignment wrapText="1"/>
    </xf>
    <xf numFmtId="6" fontId="42" fillId="0" borderId="0" xfId="0" applyNumberFormat="1" applyFont="1"/>
    <xf numFmtId="165" fontId="34" fillId="0" borderId="22" xfId="33" applyNumberFormat="1" applyBorder="1" applyAlignment="1">
      <alignment wrapText="1"/>
    </xf>
    <xf numFmtId="6" fontId="42" fillId="0" borderId="22" xfId="0" applyNumberFormat="1" applyFont="1" applyBorder="1" applyAlignment="1">
      <alignment wrapText="1"/>
    </xf>
    <xf numFmtId="165" fontId="34" fillId="0" borderId="0" xfId="33" applyNumberFormat="1" applyBorder="1" applyAlignment="1">
      <alignment wrapText="1"/>
    </xf>
    <xf numFmtId="6" fontId="42" fillId="0" borderId="0" xfId="0" applyNumberFormat="1" applyFont="1" applyAlignment="1">
      <alignment wrapText="1"/>
    </xf>
    <xf numFmtId="9" fontId="18" fillId="0" borderId="0" xfId="0" applyNumberFormat="1" applyFont="1"/>
    <xf numFmtId="10" fontId="18" fillId="0" borderId="0" xfId="0" applyNumberFormat="1" applyFont="1"/>
    <xf numFmtId="0" fontId="34" fillId="0" borderId="0" xfId="33" applyFill="1" applyBorder="1"/>
    <xf numFmtId="1" fontId="32" fillId="0" borderId="35" xfId="31" applyNumberFormat="1" applyFill="1" applyAlignment="1">
      <alignment horizontal="center"/>
    </xf>
    <xf numFmtId="41" fontId="46" fillId="0" borderId="0" xfId="16" applyNumberFormat="1" applyFont="1" applyFill="1" applyBorder="1" applyAlignment="1">
      <alignment wrapText="1"/>
    </xf>
    <xf numFmtId="41" fontId="49" fillId="9" borderId="0" xfId="0" applyNumberFormat="1" applyFont="1" applyFill="1"/>
    <xf numFmtId="0" fontId="50" fillId="0" borderId="0" xfId="0" applyFont="1" applyAlignment="1">
      <alignment wrapText="1"/>
    </xf>
    <xf numFmtId="0" fontId="50" fillId="0" borderId="0" xfId="0" applyFont="1"/>
    <xf numFmtId="41" fontId="49" fillId="0" borderId="0" xfId="0" applyNumberFormat="1" applyFont="1"/>
    <xf numFmtId="0" fontId="50" fillId="0" borderId="0" xfId="0" applyFont="1" applyAlignment="1">
      <alignment horizontal="center"/>
    </xf>
    <xf numFmtId="0" fontId="50" fillId="0" borderId="0" xfId="0" applyFont="1" applyAlignment="1" applyProtection="1">
      <alignment horizontal="center" wrapText="1"/>
      <protection locked="0"/>
    </xf>
    <xf numFmtId="0" fontId="49" fillId="0" borderId="0" xfId="0" applyFont="1" applyAlignment="1">
      <alignment horizontal="center"/>
    </xf>
    <xf numFmtId="0" fontId="50" fillId="0" borderId="0" xfId="0" applyFont="1" applyAlignment="1">
      <alignment horizontal="center" wrapText="1"/>
    </xf>
    <xf numFmtId="0" fontId="50" fillId="0" borderId="36" xfId="0" applyFont="1" applyBorder="1" applyAlignment="1">
      <alignment horizontal="center" wrapText="1"/>
    </xf>
    <xf numFmtId="0" fontId="50" fillId="0" borderId="37" xfId="0" applyFont="1" applyBorder="1" applyAlignment="1">
      <alignment wrapText="1"/>
    </xf>
    <xf numFmtId="0" fontId="50" fillId="0" borderId="37" xfId="0" applyFont="1" applyBorder="1" applyAlignment="1">
      <alignment horizontal="center" wrapText="1"/>
    </xf>
    <xf numFmtId="0" fontId="50" fillId="0" borderId="2" xfId="0" applyFont="1" applyBorder="1"/>
    <xf numFmtId="0" fontId="50" fillId="0" borderId="2" xfId="0" applyFont="1" applyBorder="1" applyAlignment="1">
      <alignment horizontal="center" wrapText="1"/>
    </xf>
    <xf numFmtId="41" fontId="49" fillId="0" borderId="0" xfId="16" applyNumberFormat="1" applyFont="1" applyFill="1" applyBorder="1" applyAlignment="1">
      <alignment wrapText="1"/>
    </xf>
    <xf numFmtId="0" fontId="45" fillId="0" borderId="0" xfId="33" applyFont="1" applyAlignment="1">
      <alignment vertical="center" wrapText="1"/>
    </xf>
    <xf numFmtId="0" fontId="18" fillId="0" borderId="0" xfId="19" applyFont="1" applyFill="1" applyBorder="1"/>
    <xf numFmtId="41" fontId="30" fillId="15" borderId="2" xfId="29" applyNumberFormat="1" applyBorder="1" applyAlignment="1">
      <alignment horizontal="right"/>
    </xf>
    <xf numFmtId="41" fontId="30" fillId="15" borderId="53" xfId="29" applyNumberFormat="1" applyBorder="1"/>
    <xf numFmtId="41" fontId="30" fillId="15" borderId="55" xfId="29" applyNumberFormat="1" applyBorder="1"/>
    <xf numFmtId="41" fontId="31" fillId="15" borderId="58" xfId="30" applyNumberFormat="1" applyBorder="1"/>
    <xf numFmtId="167" fontId="30" fillId="15" borderId="61" xfId="29" applyNumberFormat="1" applyBorder="1"/>
    <xf numFmtId="167" fontId="30" fillId="15" borderId="60" xfId="29" applyNumberFormat="1" applyBorder="1"/>
    <xf numFmtId="167" fontId="31" fillId="15" borderId="70" xfId="30" applyNumberFormat="1" applyBorder="1"/>
    <xf numFmtId="167" fontId="31" fillId="15" borderId="75" xfId="30" applyNumberFormat="1" applyBorder="1"/>
    <xf numFmtId="0" fontId="20" fillId="0" borderId="22" xfId="18" applyFont="1" applyFill="1" applyBorder="1"/>
    <xf numFmtId="0" fontId="34" fillId="0" borderId="22" xfId="33" applyFill="1" applyBorder="1"/>
    <xf numFmtId="0" fontId="20" fillId="0" borderId="22" xfId="19" applyFont="1" applyFill="1" applyBorder="1"/>
    <xf numFmtId="0" fontId="15" fillId="0" borderId="22" xfId="18" applyFont="1" applyFill="1" applyBorder="1" applyAlignment="1"/>
    <xf numFmtId="0" fontId="15" fillId="0" borderId="22" xfId="18" applyFont="1" applyFill="1" applyBorder="1"/>
    <xf numFmtId="10" fontId="18" fillId="0" borderId="22" xfId="1" applyNumberFormat="1" applyFont="1" applyFill="1" applyBorder="1"/>
    <xf numFmtId="0" fontId="15" fillId="0" borderId="22" xfId="19" applyFont="1" applyFill="1" applyBorder="1" applyAlignment="1"/>
    <xf numFmtId="0" fontId="15" fillId="0" borderId="22" xfId="19" applyFont="1" applyFill="1" applyBorder="1"/>
    <xf numFmtId="10" fontId="31" fillId="20" borderId="78" xfId="30" applyNumberFormat="1" applyFill="1" applyBorder="1" applyAlignment="1">
      <alignment wrapText="1"/>
    </xf>
    <xf numFmtId="167" fontId="1" fillId="20" borderId="76" xfId="36" applyNumberFormat="1" applyFill="1" applyBorder="1" applyAlignment="1">
      <alignment wrapText="1"/>
    </xf>
    <xf numFmtId="0" fontId="54" fillId="0" borderId="0" xfId="0" applyFont="1" applyAlignment="1">
      <alignment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34" fillId="0" borderId="0" xfId="33"/>
    <xf numFmtId="0" fontId="34" fillId="0" borderId="0" xfId="33" applyAlignment="1">
      <alignment wrapText="1"/>
    </xf>
    <xf numFmtId="0" fontId="57" fillId="0" borderId="0" xfId="33" applyFont="1"/>
    <xf numFmtId="0" fontId="45" fillId="0" borderId="0" xfId="33" applyFont="1" applyAlignment="1">
      <alignment wrapText="1"/>
    </xf>
    <xf numFmtId="0" fontId="58" fillId="0" borderId="0" xfId="33" applyFont="1" applyAlignment="1">
      <alignment wrapText="1"/>
    </xf>
    <xf numFmtId="0" fontId="59" fillId="0" borderId="0" xfId="33" applyFont="1"/>
    <xf numFmtId="0" fontId="60" fillId="0" borderId="0" xfId="33" applyFont="1"/>
    <xf numFmtId="0" fontId="61" fillId="0" borderId="0" xfId="33" applyFont="1"/>
    <xf numFmtId="0" fontId="59" fillId="0" borderId="0" xfId="33" applyFont="1" applyAlignment="1">
      <alignment wrapText="1"/>
    </xf>
    <xf numFmtId="0" fontId="64" fillId="15" borderId="33" xfId="30" applyFont="1" applyAlignment="1">
      <alignment wrapText="1"/>
    </xf>
    <xf numFmtId="0" fontId="65" fillId="0" borderId="35" xfId="31" applyFont="1" applyFill="1" applyAlignment="1">
      <alignment wrapText="1"/>
    </xf>
    <xf numFmtId="0" fontId="59" fillId="0" borderId="0" xfId="33" applyFont="1" applyAlignment="1">
      <alignment vertical="center"/>
    </xf>
    <xf numFmtId="0" fontId="45" fillId="0" borderId="81" xfId="33" applyFont="1" applyFill="1" applyBorder="1" applyAlignment="1">
      <alignment wrapText="1"/>
    </xf>
    <xf numFmtId="0" fontId="45" fillId="0" borderId="2" xfId="33" applyFont="1" applyFill="1" applyBorder="1"/>
    <xf numFmtId="0" fontId="45" fillId="0" borderId="26" xfId="33" applyFont="1" applyFill="1" applyBorder="1"/>
    <xf numFmtId="0" fontId="34" fillId="0" borderId="81" xfId="33" applyBorder="1" applyAlignment="1">
      <alignment wrapText="1"/>
    </xf>
    <xf numFmtId="0" fontId="34" fillId="0" borderId="2" xfId="33" applyBorder="1"/>
    <xf numFmtId="0" fontId="34" fillId="0" borderId="26" xfId="33" applyBorder="1"/>
    <xf numFmtId="0" fontId="34" fillId="0" borderId="81" xfId="33" applyBorder="1"/>
    <xf numFmtId="0" fontId="34" fillId="0" borderId="82" xfId="33" applyBorder="1" applyAlignment="1">
      <alignment wrapText="1"/>
    </xf>
    <xf numFmtId="0" fontId="34" fillId="0" borderId="25" xfId="33" applyBorder="1"/>
    <xf numFmtId="0" fontId="34" fillId="0" borderId="83" xfId="33" applyBorder="1"/>
    <xf numFmtId="0" fontId="25" fillId="0" borderId="0" xfId="0" applyFont="1" applyAlignment="1">
      <alignment horizontal="center" wrapText="1"/>
    </xf>
    <xf numFmtId="0" fontId="45" fillId="0" borderId="0" xfId="33" applyFont="1"/>
    <xf numFmtId="0" fontId="45" fillId="0" borderId="2" xfId="33" applyFont="1" applyBorder="1"/>
    <xf numFmtId="0" fontId="45" fillId="0" borderId="26" xfId="33" applyFont="1" applyBorder="1"/>
    <xf numFmtId="0" fontId="69" fillId="0" borderId="0" xfId="0" applyFont="1" applyAlignment="1">
      <alignment horizontal="left"/>
    </xf>
    <xf numFmtId="0" fontId="29" fillId="0" borderId="0" xfId="28" applyFill="1" applyBorder="1" applyAlignment="1">
      <alignment horizontal="center"/>
    </xf>
    <xf numFmtId="0" fontId="69" fillId="0" borderId="0" xfId="0" applyFont="1"/>
    <xf numFmtId="167" fontId="15" fillId="11" borderId="77" xfId="24" applyNumberFormat="1" applyFont="1" applyFill="1" applyBorder="1"/>
    <xf numFmtId="166" fontId="76" fillId="15" borderId="93" xfId="29" applyNumberFormat="1" applyFont="1" applyBorder="1" applyAlignment="1" applyProtection="1">
      <alignment horizontal="right" vertical="center"/>
    </xf>
    <xf numFmtId="166" fontId="76" fillId="15" borderId="44" xfId="29" applyNumberFormat="1" applyFont="1" applyBorder="1" applyAlignment="1" applyProtection="1">
      <alignment horizontal="right" vertical="center"/>
    </xf>
    <xf numFmtId="166" fontId="76" fillId="15" borderId="96" xfId="29" applyNumberFormat="1" applyFont="1" applyBorder="1" applyAlignment="1" applyProtection="1">
      <alignment horizontal="right" vertical="center"/>
    </xf>
    <xf numFmtId="166" fontId="76" fillId="15" borderId="94" xfId="29" applyNumberFormat="1" applyFont="1" applyBorder="1" applyAlignment="1" applyProtection="1">
      <alignment horizontal="right" vertical="center"/>
    </xf>
    <xf numFmtId="166" fontId="76" fillId="15" borderId="34" xfId="29" applyNumberFormat="1" applyFont="1" applyAlignment="1" applyProtection="1">
      <alignment horizontal="right" vertical="center"/>
    </xf>
    <xf numFmtId="166" fontId="76" fillId="15" borderId="99" xfId="29" applyNumberFormat="1" applyFont="1" applyBorder="1" applyAlignment="1" applyProtection="1">
      <alignment horizontal="right" vertical="center"/>
    </xf>
    <xf numFmtId="1" fontId="82" fillId="15" borderId="33" xfId="30" applyNumberFormat="1" applyFont="1"/>
    <xf numFmtId="44" fontId="82" fillId="15" borderId="33" xfId="30" applyNumberFormat="1" applyFont="1"/>
    <xf numFmtId="0" fontId="69" fillId="22" borderId="0" xfId="0" applyFont="1" applyFill="1" applyAlignment="1">
      <alignment wrapText="1"/>
    </xf>
    <xf numFmtId="0" fontId="69" fillId="12" borderId="0" xfId="0" applyFont="1" applyFill="1" applyAlignment="1">
      <alignment wrapText="1"/>
    </xf>
    <xf numFmtId="0" fontId="69" fillId="23" borderId="0" xfId="0" applyFont="1" applyFill="1" applyAlignment="1">
      <alignment wrapText="1"/>
    </xf>
    <xf numFmtId="0" fontId="86" fillId="0" borderId="0" xfId="33" applyFont="1"/>
    <xf numFmtId="0" fontId="90" fillId="0" borderId="0" xfId="0" applyFont="1" applyAlignment="1">
      <alignment horizontal="center"/>
    </xf>
    <xf numFmtId="167" fontId="78" fillId="20" borderId="119" xfId="29" applyNumberFormat="1" applyFont="1" applyFill="1" applyBorder="1" applyAlignment="1" applyProtection="1">
      <alignment horizontal="right" vertical="center"/>
    </xf>
    <xf numFmtId="0" fontId="17" fillId="0" borderId="0" xfId="0" applyFont="1" applyAlignment="1">
      <alignment wrapText="1"/>
    </xf>
    <xf numFmtId="2" fontId="31" fillId="15" borderId="33" xfId="30" applyNumberFormat="1" applyAlignment="1">
      <alignment horizontal="right" wrapText="1"/>
    </xf>
    <xf numFmtId="2" fontId="31" fillId="15" borderId="33" xfId="30" applyNumberFormat="1"/>
    <xf numFmtId="44" fontId="29" fillId="0" borderId="0" xfId="28" applyNumberFormat="1" applyFill="1" applyBorder="1" applyAlignment="1">
      <alignment horizontal="right"/>
    </xf>
    <xf numFmtId="44" fontId="29" fillId="0" borderId="0" xfId="28" applyNumberFormat="1" applyFill="1" applyBorder="1"/>
    <xf numFmtId="0" fontId="73" fillId="0" borderId="8" xfId="32" applyFont="1" applyBorder="1" applyAlignment="1">
      <alignment vertical="center" wrapText="1"/>
    </xf>
    <xf numFmtId="0" fontId="34" fillId="0" borderId="0" xfId="33" applyBorder="1" applyAlignment="1">
      <alignment horizontal="center"/>
    </xf>
    <xf numFmtId="0" fontId="0" fillId="0" borderId="4" xfId="0" applyBorder="1"/>
    <xf numFmtId="0" fontId="0" fillId="0" borderId="22" xfId="0" applyBorder="1"/>
    <xf numFmtId="0" fontId="45" fillId="0" borderId="0" xfId="33" applyFont="1" applyBorder="1" applyAlignment="1">
      <alignment wrapText="1"/>
    </xf>
    <xf numFmtId="1" fontId="34" fillId="0" borderId="0" xfId="33" applyNumberFormat="1" applyBorder="1" applyAlignment="1">
      <alignment horizontal="center"/>
    </xf>
    <xf numFmtId="168" fontId="34" fillId="0" borderId="0" xfId="33" applyNumberFormat="1" applyBorder="1" applyAlignment="1">
      <alignment horizontal="center"/>
    </xf>
    <xf numFmtId="9" fontId="34" fillId="0" borderId="0" xfId="33" applyNumberFormat="1" applyBorder="1" applyAlignment="1">
      <alignment horizontal="center"/>
    </xf>
    <xf numFmtId="9" fontId="34" fillId="0" borderId="0" xfId="33" applyNumberFormat="1" applyBorder="1" applyAlignment="1">
      <alignment horizontal="center" wrapText="1"/>
    </xf>
    <xf numFmtId="0" fontId="34" fillId="0" borderId="0" xfId="33" applyBorder="1" applyAlignment="1">
      <alignment horizontal="center" wrapText="1"/>
    </xf>
    <xf numFmtId="0" fontId="45" fillId="0" borderId="8" xfId="33" applyFont="1" applyBorder="1" applyAlignment="1">
      <alignment vertical="center" wrapText="1"/>
    </xf>
    <xf numFmtId="10" fontId="18" fillId="0" borderId="9" xfId="1" applyNumberFormat="1" applyFont="1" applyFill="1" applyBorder="1"/>
    <xf numFmtId="9" fontId="1" fillId="20" borderId="76" xfId="36" applyNumberFormat="1" applyFill="1" applyBorder="1" applyAlignment="1">
      <alignment wrapText="1"/>
    </xf>
    <xf numFmtId="170" fontId="82" fillId="15" borderId="33" xfId="30" applyNumberFormat="1" applyFont="1"/>
    <xf numFmtId="170" fontId="71" fillId="0" borderId="0" xfId="0" applyNumberFormat="1" applyFont="1"/>
    <xf numFmtId="43" fontId="18" fillId="0" borderId="0" xfId="0" applyNumberFormat="1" applyFont="1"/>
    <xf numFmtId="0" fontId="20" fillId="0" borderId="0" xfId="19" applyFont="1" applyFill="1" applyBorder="1" applyAlignment="1">
      <alignment horizontal="center"/>
    </xf>
    <xf numFmtId="0" fontId="34" fillId="0" borderId="22" xfId="33" applyFill="1" applyBorder="1" applyAlignment="1">
      <alignment horizontal="center"/>
    </xf>
    <xf numFmtId="0" fontId="20" fillId="0" borderId="0" xfId="18" applyFont="1" applyFill="1" applyBorder="1" applyAlignment="1">
      <alignment horizontal="center"/>
    </xf>
    <xf numFmtId="0" fontId="32" fillId="0" borderId="35" xfId="31" applyAlignment="1">
      <alignment horizontal="left"/>
    </xf>
    <xf numFmtId="0" fontId="18" fillId="0" borderId="0" xfId="0" applyFont="1" applyAlignment="1">
      <alignment horizontal="center"/>
    </xf>
    <xf numFmtId="0" fontId="41" fillId="0" borderId="0" xfId="0" applyFont="1" applyAlignment="1">
      <alignment horizontal="center"/>
    </xf>
    <xf numFmtId="0" fontId="32" fillId="0" borderId="129" xfId="31" applyBorder="1"/>
    <xf numFmtId="0" fontId="32" fillId="0" borderId="129" xfId="31" applyBorder="1" applyAlignment="1">
      <alignment horizontal="left"/>
    </xf>
    <xf numFmtId="0" fontId="32" fillId="0" borderId="130" xfId="31" applyBorder="1"/>
    <xf numFmtId="0" fontId="41" fillId="0" borderId="0" xfId="0" applyFont="1"/>
    <xf numFmtId="0" fontId="41" fillId="0" borderId="127" xfId="0" applyFont="1" applyBorder="1"/>
    <xf numFmtId="1" fontId="32" fillId="15" borderId="129" xfId="31" applyNumberFormat="1" applyFill="1" applyBorder="1" applyAlignment="1">
      <alignment horizontal="center"/>
    </xf>
    <xf numFmtId="1" fontId="32" fillId="15" borderId="130" xfId="31" applyNumberFormat="1" applyFill="1" applyBorder="1" applyAlignment="1">
      <alignment horizontal="center"/>
    </xf>
    <xf numFmtId="1" fontId="32" fillId="11" borderId="130" xfId="31" applyNumberFormat="1" applyFill="1" applyBorder="1" applyAlignment="1">
      <alignment horizontal="center"/>
    </xf>
    <xf numFmtId="1" fontId="32" fillId="11" borderId="129" xfId="31" applyNumberFormat="1" applyFill="1" applyBorder="1" applyAlignment="1">
      <alignment horizontal="center"/>
    </xf>
    <xf numFmtId="0" fontId="18" fillId="0" borderId="128" xfId="0" applyFont="1" applyBorder="1"/>
    <xf numFmtId="41" fontId="30" fillId="15" borderId="44" xfId="29" applyNumberFormat="1" applyBorder="1"/>
    <xf numFmtId="41" fontId="30" fillId="15" borderId="60" xfId="29" applyNumberFormat="1" applyBorder="1"/>
    <xf numFmtId="41" fontId="31" fillId="15" borderId="75" xfId="30" applyNumberFormat="1" applyBorder="1"/>
    <xf numFmtId="0" fontId="73" fillId="7" borderId="0" xfId="32" applyFont="1" applyFill="1" applyBorder="1" applyAlignment="1">
      <alignment vertical="center" wrapText="1"/>
    </xf>
    <xf numFmtId="0" fontId="73" fillId="0" borderId="42" xfId="32" applyFont="1" applyBorder="1" applyAlignment="1">
      <alignment vertical="center" wrapText="1"/>
    </xf>
    <xf numFmtId="0" fontId="73" fillId="0" borderId="0" xfId="32" applyFont="1" applyBorder="1" applyAlignment="1">
      <alignment vertical="center" wrapText="1"/>
    </xf>
    <xf numFmtId="41" fontId="6" fillId="0" borderId="0" xfId="16" applyNumberFormat="1" applyFont="1" applyFill="1" applyBorder="1" applyAlignment="1">
      <alignment wrapText="1"/>
    </xf>
    <xf numFmtId="0" fontId="93" fillId="0" borderId="8" xfId="32" applyFont="1" applyBorder="1" applyAlignment="1">
      <alignment vertical="center" wrapText="1"/>
    </xf>
    <xf numFmtId="0" fontId="18" fillId="0" borderId="7" xfId="0" applyFont="1" applyBorder="1" applyAlignment="1">
      <alignment wrapText="1"/>
    </xf>
    <xf numFmtId="0" fontId="18" fillId="0" borderId="20" xfId="0" applyFont="1" applyBorder="1" applyAlignment="1">
      <alignment wrapText="1"/>
    </xf>
    <xf numFmtId="0" fontId="18" fillId="0" borderId="10" xfId="0" applyFont="1" applyBorder="1" applyAlignment="1">
      <alignment wrapText="1"/>
    </xf>
    <xf numFmtId="0" fontId="0" fillId="0" borderId="5" xfId="0" applyBorder="1"/>
    <xf numFmtId="0" fontId="0" fillId="0" borderId="68" xfId="0" applyBorder="1"/>
    <xf numFmtId="0" fontId="17" fillId="0" borderId="47" xfId="0" applyFont="1" applyBorder="1"/>
    <xf numFmtId="0" fontId="17" fillId="0" borderId="121" xfId="0" applyFont="1" applyBorder="1"/>
    <xf numFmtId="0" fontId="17" fillId="0" borderId="42" xfId="0" applyFont="1" applyBorder="1"/>
    <xf numFmtId="0" fontId="5" fillId="0" borderId="3" xfId="0" applyFont="1" applyBorder="1" applyAlignment="1">
      <alignment wrapText="1"/>
    </xf>
    <xf numFmtId="0" fontId="5" fillId="0" borderId="5" xfId="0" applyFont="1" applyBorder="1" applyAlignment="1">
      <alignment wrapText="1"/>
    </xf>
    <xf numFmtId="0" fontId="5" fillId="0" borderId="18" xfId="0" applyFont="1" applyBorder="1" applyAlignment="1">
      <alignment wrapText="1"/>
    </xf>
    <xf numFmtId="0" fontId="5" fillId="0" borderId="10" xfId="0" applyFont="1" applyBorder="1" applyAlignment="1">
      <alignment wrapText="1"/>
    </xf>
    <xf numFmtId="0" fontId="44" fillId="0" borderId="3" xfId="0" applyFont="1" applyBorder="1" applyAlignment="1">
      <alignment wrapText="1"/>
    </xf>
    <xf numFmtId="0" fontId="44" fillId="0" borderId="5" xfId="0" applyFont="1" applyBorder="1" applyAlignment="1">
      <alignment wrapText="1"/>
    </xf>
    <xf numFmtId="2" fontId="31" fillId="15" borderId="46" xfId="30" applyNumberFormat="1" applyBorder="1" applyAlignment="1">
      <alignment horizontal="right" wrapText="1"/>
    </xf>
    <xf numFmtId="2" fontId="31" fillId="15" borderId="46" xfId="30" applyNumberFormat="1" applyBorder="1"/>
    <xf numFmtId="0" fontId="11" fillId="0" borderId="0" xfId="0" applyFont="1"/>
    <xf numFmtId="10" fontId="18" fillId="0" borderId="48" xfId="1" applyNumberFormat="1" applyFont="1" applyFill="1" applyBorder="1"/>
    <xf numFmtId="10" fontId="18" fillId="0" borderId="131" xfId="1" applyNumberFormat="1" applyFont="1" applyFill="1" applyBorder="1"/>
    <xf numFmtId="10" fontId="18" fillId="0" borderId="57" xfId="1" applyNumberFormat="1" applyFont="1" applyFill="1" applyBorder="1"/>
    <xf numFmtId="0" fontId="83" fillId="12" borderId="0" xfId="0" applyFont="1" applyFill="1" applyAlignment="1">
      <alignment horizontal="center"/>
    </xf>
    <xf numFmtId="44" fontId="0" fillId="0" borderId="0" xfId="24" applyFont="1" applyFill="1"/>
    <xf numFmtId="44" fontId="8" fillId="0" borderId="0" xfId="24" applyFont="1" applyFill="1"/>
    <xf numFmtId="164" fontId="94" fillId="0" borderId="2" xfId="0" applyNumberFormat="1" applyFont="1" applyBorder="1" applyAlignment="1">
      <alignment horizontal="center" wrapText="1"/>
    </xf>
    <xf numFmtId="0" fontId="72" fillId="0" borderId="0" xfId="0" applyFont="1"/>
    <xf numFmtId="0" fontId="72" fillId="0" borderId="30" xfId="0" applyFont="1" applyBorder="1"/>
    <xf numFmtId="0" fontId="33" fillId="0" borderId="0" xfId="32" applyBorder="1" applyAlignment="1">
      <alignment vertical="center" wrapText="1"/>
    </xf>
    <xf numFmtId="0" fontId="73" fillId="7" borderId="42" xfId="32" applyFont="1" applyFill="1" applyBorder="1" applyAlignment="1">
      <alignment vertical="center" wrapText="1"/>
    </xf>
    <xf numFmtId="6" fontId="42" fillId="0" borderId="22" xfId="0" applyNumberFormat="1" applyFont="1" applyBorder="1"/>
    <xf numFmtId="6" fontId="42" fillId="0" borderId="30" xfId="0" applyNumberFormat="1" applyFont="1" applyBorder="1"/>
    <xf numFmtId="0" fontId="41" fillId="0" borderId="0" xfId="2" applyFont="1" applyAlignment="1">
      <alignment wrapText="1"/>
    </xf>
    <xf numFmtId="0" fontId="0" fillId="0" borderId="67" xfId="0" applyBorder="1"/>
    <xf numFmtId="0" fontId="0" fillId="0" borderId="110" xfId="0" applyBorder="1"/>
    <xf numFmtId="0" fontId="44" fillId="0" borderId="0" xfId="0" applyFont="1" applyAlignment="1">
      <alignment wrapText="1"/>
    </xf>
    <xf numFmtId="0" fontId="0" fillId="0" borderId="8" xfId="0" applyBorder="1"/>
    <xf numFmtId="0" fontId="50" fillId="0" borderId="42" xfId="0" applyFont="1" applyBorder="1" applyAlignment="1">
      <alignment horizontal="center"/>
    </xf>
    <xf numFmtId="0" fontId="41" fillId="0" borderId="77" xfId="0" applyFont="1" applyBorder="1" applyAlignment="1">
      <alignment wrapText="1"/>
    </xf>
    <xf numFmtId="0" fontId="39" fillId="25" borderId="0" xfId="0" applyFont="1" applyFill="1" applyAlignment="1">
      <alignment wrapText="1"/>
    </xf>
    <xf numFmtId="0" fontId="39" fillId="25" borderId="0" xfId="0" applyFont="1" applyFill="1" applyAlignment="1">
      <alignment horizontal="left" wrapText="1"/>
    </xf>
    <xf numFmtId="14" fontId="39" fillId="25" borderId="0" xfId="0" applyNumberFormat="1" applyFont="1" applyFill="1" applyAlignment="1">
      <alignment wrapText="1"/>
    </xf>
    <xf numFmtId="41" fontId="39" fillId="25" borderId="0" xfId="0" applyNumberFormat="1" applyFont="1" applyFill="1" applyAlignment="1">
      <alignment horizontal="center" wrapText="1"/>
    </xf>
    <xf numFmtId="41" fontId="39" fillId="25" borderId="54" xfId="0" applyNumberFormat="1" applyFont="1" applyFill="1" applyBorder="1" applyAlignment="1">
      <alignment horizontal="center" wrapText="1"/>
    </xf>
    <xf numFmtId="0" fontId="96" fillId="26" borderId="31" xfId="26" applyFont="1" applyFill="1" applyAlignment="1">
      <alignment horizontal="left" vertical="center"/>
    </xf>
    <xf numFmtId="0" fontId="96" fillId="26" borderId="31" xfId="26" applyFont="1" applyFill="1" applyAlignment="1">
      <alignment vertical="center"/>
    </xf>
    <xf numFmtId="41" fontId="36" fillId="27" borderId="0" xfId="34" applyNumberFormat="1" applyFill="1" applyAlignment="1">
      <alignment horizontal="center" wrapText="1"/>
    </xf>
    <xf numFmtId="41" fontId="36" fillId="27" borderId="9" xfId="34" applyNumberFormat="1" applyFill="1" applyBorder="1" applyAlignment="1">
      <alignment horizontal="center" wrapText="1"/>
    </xf>
    <xf numFmtId="41" fontId="36" fillId="27" borderId="54" xfId="34" applyNumberFormat="1" applyFill="1" applyBorder="1" applyAlignment="1">
      <alignment horizontal="center" wrapText="1"/>
    </xf>
    <xf numFmtId="0" fontId="36" fillId="27" borderId="0" xfId="34" applyFill="1" applyAlignment="1">
      <alignment wrapText="1"/>
    </xf>
    <xf numFmtId="0" fontId="36" fillId="27" borderId="0" xfId="34" applyFill="1" applyAlignment="1">
      <alignment horizontal="left" wrapText="1"/>
    </xf>
    <xf numFmtId="0" fontId="36" fillId="27" borderId="9" xfId="34" applyFill="1" applyBorder="1" applyAlignment="1">
      <alignment horizontal="left" wrapText="1"/>
    </xf>
    <xf numFmtId="0" fontId="96" fillId="26" borderId="31" xfId="26" applyFont="1" applyFill="1" applyAlignment="1"/>
    <xf numFmtId="0" fontId="96" fillId="26" borderId="31" xfId="26" applyFont="1" applyFill="1" applyAlignment="1">
      <alignment horizontal="left"/>
    </xf>
    <xf numFmtId="167" fontId="96" fillId="26" borderId="31" xfId="26" applyNumberFormat="1" applyFont="1" applyFill="1"/>
    <xf numFmtId="167" fontId="52" fillId="19" borderId="8" xfId="24" applyNumberFormat="1" applyFont="1" applyFill="1" applyBorder="1" applyAlignment="1">
      <alignment wrapText="1"/>
    </xf>
    <xf numFmtId="41" fontId="50" fillId="0" borderId="139" xfId="0" applyNumberFormat="1" applyFont="1" applyBorder="1" applyAlignment="1">
      <alignment wrapText="1"/>
    </xf>
    <xf numFmtId="41" fontId="30" fillId="28" borderId="34" xfId="29" applyNumberFormat="1" applyFill="1" applyAlignment="1">
      <alignment horizontal="right"/>
    </xf>
    <xf numFmtId="41" fontId="30" fillId="28" borderId="2" xfId="29" applyNumberFormat="1" applyFill="1" applyBorder="1" applyAlignment="1">
      <alignment horizontal="right"/>
    </xf>
    <xf numFmtId="41" fontId="30" fillId="28" borderId="23" xfId="29" applyNumberFormat="1" applyFill="1" applyBorder="1"/>
    <xf numFmtId="41" fontId="30" fillId="28" borderId="2" xfId="29" applyNumberFormat="1" applyFill="1" applyBorder="1"/>
    <xf numFmtId="41" fontId="30" fillId="28" borderId="53" xfId="29" applyNumberFormat="1" applyFill="1" applyBorder="1"/>
    <xf numFmtId="41" fontId="31" fillId="28" borderId="2" xfId="30" applyNumberFormat="1" applyFill="1" applyBorder="1" applyAlignment="1">
      <alignment horizontal="center"/>
    </xf>
    <xf numFmtId="41" fontId="31" fillId="28" borderId="58" xfId="30" applyNumberFormat="1" applyFill="1" applyBorder="1" applyAlignment="1">
      <alignment horizontal="center"/>
    </xf>
    <xf numFmtId="41" fontId="51" fillId="28" borderId="53" xfId="29" applyNumberFormat="1" applyFont="1" applyFill="1" applyBorder="1"/>
    <xf numFmtId="44" fontId="18" fillId="28" borderId="51" xfId="24" applyFont="1" applyFill="1" applyBorder="1"/>
    <xf numFmtId="167" fontId="31" fillId="28" borderId="70" xfId="30" applyNumberFormat="1" applyFill="1" applyBorder="1"/>
    <xf numFmtId="167" fontId="31" fillId="28" borderId="75" xfId="30" applyNumberFormat="1" applyFill="1" applyBorder="1"/>
    <xf numFmtId="0" fontId="16" fillId="28" borderId="77" xfId="35" applyFont="1" applyFill="1" applyBorder="1" applyAlignment="1">
      <alignment horizontal="left" wrapText="1"/>
    </xf>
    <xf numFmtId="0" fontId="1" fillId="28" borderId="77" xfId="35" applyFill="1" applyBorder="1" applyAlignment="1">
      <alignment horizontal="left" wrapText="1"/>
    </xf>
    <xf numFmtId="167" fontId="1" fillId="28" borderId="77" xfId="35" applyNumberFormat="1" applyFill="1" applyBorder="1"/>
    <xf numFmtId="167" fontId="99" fillId="28" borderId="62" xfId="28" applyNumberFormat="1" applyFont="1" applyFill="1" applyBorder="1"/>
    <xf numFmtId="0" fontId="17" fillId="29" borderId="0" xfId="0" applyFont="1" applyFill="1" applyAlignment="1">
      <alignment wrapText="1"/>
    </xf>
    <xf numFmtId="41" fontId="29" fillId="31" borderId="33" xfId="28" applyNumberFormat="1" applyFill="1" applyAlignment="1">
      <alignment horizontal="right" wrapText="1"/>
    </xf>
    <xf numFmtId="0" fontId="29" fillId="31" borderId="33" xfId="28" applyFill="1" applyAlignment="1">
      <alignment horizontal="right" wrapText="1"/>
    </xf>
    <xf numFmtId="0" fontId="29" fillId="31" borderId="39" xfId="28" applyFill="1" applyBorder="1" applyAlignment="1">
      <alignment horizontal="right" wrapText="1"/>
    </xf>
    <xf numFmtId="0" fontId="29" fillId="31" borderId="125" xfId="28" applyFill="1" applyBorder="1" applyAlignment="1">
      <alignment horizontal="right" wrapText="1"/>
    </xf>
    <xf numFmtId="0" fontId="29" fillId="31" borderId="126" xfId="28" applyFill="1" applyBorder="1" applyAlignment="1">
      <alignment horizontal="right" wrapText="1"/>
    </xf>
    <xf numFmtId="1" fontId="29" fillId="31" borderId="33" xfId="28" applyNumberFormat="1" applyFill="1" applyAlignment="1">
      <alignment horizontal="right" wrapText="1"/>
    </xf>
    <xf numFmtId="0" fontId="29" fillId="31" borderId="33" xfId="28" applyFill="1"/>
    <xf numFmtId="44" fontId="29" fillId="31" borderId="33" xfId="28" applyNumberFormat="1" applyFill="1" applyAlignment="1">
      <alignment horizontal="right"/>
    </xf>
    <xf numFmtId="2" fontId="29" fillId="31" borderId="33" xfId="28" applyNumberFormat="1" applyFill="1" applyAlignment="1">
      <alignment horizontal="right" wrapText="1"/>
    </xf>
    <xf numFmtId="41" fontId="29" fillId="31" borderId="33" xfId="28" applyNumberFormat="1" applyFill="1" applyAlignment="1">
      <alignment horizontal="right"/>
    </xf>
    <xf numFmtId="10" fontId="29" fillId="31" borderId="33" xfId="28" applyNumberFormat="1" applyFill="1" applyAlignment="1">
      <alignment horizontal="right" wrapText="1"/>
    </xf>
    <xf numFmtId="10" fontId="29" fillId="31" borderId="33" xfId="28" applyNumberFormat="1" applyFill="1" applyAlignment="1" applyProtection="1">
      <alignment horizontal="right"/>
    </xf>
    <xf numFmtId="10" fontId="29" fillId="31" borderId="33" xfId="28" applyNumberFormat="1" applyFill="1" applyAlignment="1">
      <alignment horizontal="right"/>
    </xf>
    <xf numFmtId="41" fontId="29" fillId="31" borderId="70" xfId="28" applyNumberFormat="1" applyFill="1" applyBorder="1" applyAlignment="1">
      <alignment horizontal="center"/>
    </xf>
    <xf numFmtId="10" fontId="29" fillId="31" borderId="2" xfId="28" applyNumberFormat="1" applyFill="1" applyBorder="1" applyAlignment="1" applyProtection="1">
      <alignment horizontal="right"/>
    </xf>
    <xf numFmtId="10" fontId="29" fillId="31" borderId="39" xfId="28" applyNumberFormat="1" applyFill="1" applyBorder="1" applyAlignment="1" applyProtection="1">
      <alignment horizontal="right"/>
    </xf>
    <xf numFmtId="41" fontId="29" fillId="31" borderId="33" xfId="28" applyNumberFormat="1" applyFill="1"/>
    <xf numFmtId="167" fontId="29" fillId="31" borderId="33" xfId="28" applyNumberFormat="1" applyFill="1"/>
    <xf numFmtId="167" fontId="29" fillId="31" borderId="46" xfId="28" applyNumberFormat="1" applyFill="1" applyBorder="1"/>
    <xf numFmtId="167" fontId="29" fillId="31" borderId="69" xfId="28" applyNumberFormat="1" applyFill="1" applyBorder="1"/>
    <xf numFmtId="167" fontId="29" fillId="31" borderId="70" xfId="28" applyNumberFormat="1" applyFill="1" applyBorder="1"/>
    <xf numFmtId="167" fontId="29" fillId="31" borderId="50" xfId="28" applyNumberFormat="1" applyFill="1" applyBorder="1"/>
    <xf numFmtId="167" fontId="29" fillId="31" borderId="39" xfId="28" applyNumberFormat="1" applyFill="1" applyBorder="1"/>
    <xf numFmtId="41" fontId="29" fillId="31" borderId="38" xfId="28" applyNumberFormat="1" applyFill="1" applyBorder="1"/>
    <xf numFmtId="41" fontId="29" fillId="31" borderId="72" xfId="28" applyNumberFormat="1" applyFill="1" applyBorder="1"/>
    <xf numFmtId="0" fontId="63" fillId="31" borderId="33" xfId="28" applyFont="1" applyFill="1" applyAlignment="1">
      <alignment wrapText="1"/>
    </xf>
    <xf numFmtId="41" fontId="29" fillId="31" borderId="70" xfId="28" applyNumberFormat="1" applyFill="1" applyBorder="1"/>
    <xf numFmtId="41" fontId="29" fillId="31" borderId="39" xfId="28" applyNumberFormat="1" applyFill="1" applyBorder="1"/>
    <xf numFmtId="167" fontId="16" fillId="9" borderId="76" xfId="24" applyNumberFormat="1" applyFont="1" applyFill="1" applyBorder="1" applyAlignment="1">
      <alignment wrapText="1"/>
    </xf>
    <xf numFmtId="167" fontId="16" fillId="9" borderId="74" xfId="24" applyNumberFormat="1" applyFont="1" applyFill="1" applyBorder="1" applyAlignment="1">
      <alignment wrapText="1"/>
    </xf>
    <xf numFmtId="169" fontId="29" fillId="31" borderId="78" xfId="1" applyNumberFormat="1" applyFont="1" applyFill="1" applyBorder="1" applyAlignment="1">
      <alignment horizontal="center" wrapText="1"/>
    </xf>
    <xf numFmtId="0" fontId="37" fillId="9" borderId="76" xfId="0" applyFont="1" applyFill="1" applyBorder="1" applyAlignment="1">
      <alignment wrapText="1"/>
    </xf>
    <xf numFmtId="0" fontId="37" fillId="9" borderId="74" xfId="0" applyFont="1" applyFill="1" applyBorder="1" applyAlignment="1">
      <alignment wrapText="1"/>
    </xf>
    <xf numFmtId="0" fontId="96" fillId="21" borderId="31" xfId="26" applyFont="1" applyFill="1" applyAlignment="1">
      <alignment vertical="center"/>
    </xf>
    <xf numFmtId="167" fontId="96" fillId="21" borderId="31" xfId="26" applyNumberFormat="1" applyFont="1" applyFill="1"/>
    <xf numFmtId="0" fontId="96" fillId="21" borderId="31" xfId="26" applyFont="1" applyFill="1" applyAlignment="1"/>
    <xf numFmtId="1" fontId="29" fillId="31" borderId="39" xfId="28" applyNumberFormat="1" applyFill="1" applyBorder="1" applyAlignment="1">
      <alignment horizontal="right" wrapText="1"/>
    </xf>
    <xf numFmtId="1" fontId="29" fillId="31" borderId="70" xfId="28" applyNumberFormat="1" applyFill="1" applyBorder="1" applyAlignment="1">
      <alignment horizontal="right" wrapText="1"/>
    </xf>
    <xf numFmtId="41" fontId="29" fillId="31" borderId="39" xfId="28" applyNumberFormat="1" applyFill="1" applyBorder="1" applyAlignment="1">
      <alignment horizontal="right"/>
    </xf>
    <xf numFmtId="41" fontId="29" fillId="31" borderId="70" xfId="28" applyNumberFormat="1" applyFill="1" applyBorder="1" applyAlignment="1">
      <alignment horizontal="right"/>
    </xf>
    <xf numFmtId="0" fontId="29" fillId="31" borderId="39" xfId="28" applyFill="1" applyBorder="1"/>
    <xf numFmtId="0" fontId="29" fillId="31" borderId="70" xfId="28" applyFill="1" applyBorder="1"/>
    <xf numFmtId="41" fontId="30" fillId="15" borderId="24" xfId="29" applyNumberFormat="1" applyBorder="1" applyAlignment="1">
      <alignment horizontal="right"/>
    </xf>
    <xf numFmtId="41" fontId="30" fillId="15" borderId="25" xfId="29" applyNumberFormat="1" applyBorder="1" applyAlignment="1">
      <alignment horizontal="right"/>
    </xf>
    <xf numFmtId="0" fontId="50" fillId="0" borderId="141" xfId="0" applyFont="1" applyBorder="1" applyAlignment="1">
      <alignment wrapText="1"/>
    </xf>
    <xf numFmtId="0" fontId="50" fillId="0" borderId="141" xfId="0" applyFont="1" applyBorder="1"/>
    <xf numFmtId="41" fontId="30" fillId="28" borderId="24" xfId="29" applyNumberFormat="1" applyFill="1" applyBorder="1"/>
    <xf numFmtId="41" fontId="30" fillId="28" borderId="60" xfId="29" applyNumberFormat="1" applyFill="1" applyBorder="1"/>
    <xf numFmtId="41" fontId="31" fillId="28" borderId="73" xfId="30" applyNumberFormat="1" applyFill="1" applyBorder="1" applyAlignment="1">
      <alignment horizontal="center"/>
    </xf>
    <xf numFmtId="41" fontId="51" fillId="28" borderId="71" xfId="29" applyNumberFormat="1" applyFont="1" applyFill="1" applyBorder="1"/>
    <xf numFmtId="41" fontId="16" fillId="28" borderId="60" xfId="29" applyNumberFormat="1" applyFont="1" applyFill="1" applyBorder="1"/>
    <xf numFmtId="1" fontId="81" fillId="30" borderId="33" xfId="28" applyNumberFormat="1" applyFont="1" applyFill="1"/>
    <xf numFmtId="44" fontId="81" fillId="30" borderId="33" xfId="28" applyNumberFormat="1" applyFont="1" applyFill="1"/>
    <xf numFmtId="0" fontId="90" fillId="0" borderId="0" xfId="0" applyFont="1"/>
    <xf numFmtId="0" fontId="70" fillId="0" borderId="0" xfId="0" applyFont="1"/>
    <xf numFmtId="41" fontId="29" fillId="31" borderId="142" xfId="28" applyNumberFormat="1" applyFill="1" applyBorder="1" applyAlignment="1">
      <alignment horizontal="center"/>
    </xf>
    <xf numFmtId="9" fontId="33" fillId="20" borderId="76" xfId="32" applyNumberFormat="1" applyFill="1" applyBorder="1" applyAlignment="1">
      <alignment horizontal="center" wrapText="1"/>
    </xf>
    <xf numFmtId="41" fontId="30" fillId="15" borderId="143" xfId="29" applyNumberFormat="1" applyBorder="1" applyAlignment="1">
      <alignment horizontal="right"/>
    </xf>
    <xf numFmtId="41" fontId="30" fillId="15" borderId="119" xfId="29" applyNumberFormat="1" applyBorder="1" applyAlignment="1">
      <alignment horizontal="right"/>
    </xf>
    <xf numFmtId="167" fontId="29" fillId="31" borderId="125" xfId="28" applyNumberFormat="1" applyFill="1" applyBorder="1"/>
    <xf numFmtId="167" fontId="30" fillId="15" borderId="145" xfId="29" applyNumberFormat="1" applyBorder="1"/>
    <xf numFmtId="167" fontId="31" fillId="15" borderId="146" xfId="30" applyNumberFormat="1" applyBorder="1"/>
    <xf numFmtId="0" fontId="103" fillId="0" borderId="0" xfId="18" applyFont="1" applyFill="1" applyBorder="1"/>
    <xf numFmtId="0" fontId="103" fillId="0" borderId="0" xfId="19" applyFont="1" applyFill="1" applyBorder="1"/>
    <xf numFmtId="41" fontId="30" fillId="15" borderId="59" xfId="29" applyNumberFormat="1" applyBorder="1"/>
    <xf numFmtId="41" fontId="30" fillId="15" borderId="140" xfId="29" applyNumberFormat="1" applyBorder="1"/>
    <xf numFmtId="41" fontId="30" fillId="15" borderId="56" xfId="29" applyNumberFormat="1" applyBorder="1"/>
    <xf numFmtId="41" fontId="30" fillId="15" borderId="147" xfId="29" applyNumberFormat="1" applyBorder="1"/>
    <xf numFmtId="41" fontId="29" fillId="31" borderId="33" xfId="28" applyNumberFormat="1" applyFill="1" applyAlignment="1">
      <alignment horizontal="right" vertical="center" wrapText="1"/>
    </xf>
    <xf numFmtId="3" fontId="29" fillId="31" borderId="33" xfId="28" applyNumberFormat="1" applyFill="1" applyAlignment="1">
      <alignment horizontal="right" vertical="center" wrapText="1"/>
    </xf>
    <xf numFmtId="164" fontId="94" fillId="0" borderId="2" xfId="0" applyNumberFormat="1" applyFont="1" applyBorder="1" applyAlignment="1">
      <alignment horizontal="left" vertical="center" wrapText="1"/>
    </xf>
    <xf numFmtId="0" fontId="5" fillId="0" borderId="2" xfId="0" applyFont="1" applyBorder="1" applyAlignment="1">
      <alignment horizontal="left" vertical="top" wrapText="1"/>
    </xf>
    <xf numFmtId="41" fontId="51" fillId="28" borderId="157" xfId="29" applyNumberFormat="1" applyFont="1" applyFill="1" applyBorder="1"/>
    <xf numFmtId="41" fontId="29" fillId="31" borderId="68" xfId="28" applyNumberFormat="1" applyFill="1" applyBorder="1" applyAlignment="1">
      <alignment horizontal="center"/>
    </xf>
    <xf numFmtId="41" fontId="29" fillId="31" borderId="25" xfId="28" applyNumberFormat="1" applyFill="1" applyBorder="1" applyAlignment="1">
      <alignment horizontal="center"/>
    </xf>
    <xf numFmtId="41" fontId="51" fillId="28" borderId="144" xfId="29" applyNumberFormat="1" applyFont="1" applyFill="1" applyBorder="1"/>
    <xf numFmtId="41" fontId="29" fillId="31" borderId="158" xfId="28" applyNumberFormat="1" applyFill="1" applyBorder="1" applyAlignment="1">
      <alignment horizontal="center"/>
    </xf>
    <xf numFmtId="0" fontId="28" fillId="32" borderId="0" xfId="38" applyFill="1" applyAlignment="1">
      <alignment horizontal="center"/>
    </xf>
    <xf numFmtId="167" fontId="28" fillId="32" borderId="0" xfId="38" applyNumberFormat="1" applyFill="1"/>
    <xf numFmtId="0" fontId="28" fillId="33" borderId="32" xfId="27" applyFill="1" applyAlignment="1">
      <alignment horizontal="left"/>
    </xf>
    <xf numFmtId="167" fontId="28" fillId="33" borderId="32" xfId="24" applyNumberFormat="1" applyFont="1" applyFill="1" applyBorder="1" applyAlignment="1">
      <alignment horizontal="right"/>
    </xf>
    <xf numFmtId="167" fontId="28" fillId="33" borderId="148" xfId="24" applyNumberFormat="1" applyFont="1" applyFill="1" applyBorder="1" applyAlignment="1">
      <alignment horizontal="right"/>
    </xf>
    <xf numFmtId="1" fontId="28" fillId="32" borderId="0" xfId="38" applyNumberFormat="1" applyFill="1" applyAlignment="1">
      <alignment horizontal="center"/>
    </xf>
    <xf numFmtId="0" fontId="28" fillId="33" borderId="32" xfId="27" applyFill="1" applyAlignment="1">
      <alignment horizontal="center"/>
    </xf>
    <xf numFmtId="167" fontId="28" fillId="33" borderId="0" xfId="27" applyNumberFormat="1" applyFill="1" applyBorder="1" applyAlignment="1">
      <alignment horizontal="right"/>
    </xf>
    <xf numFmtId="167" fontId="28" fillId="33" borderId="32" xfId="24" applyNumberFormat="1" applyFont="1" applyFill="1" applyBorder="1"/>
    <xf numFmtId="167" fontId="28" fillId="33" borderId="149" xfId="24" applyNumberFormat="1" applyFont="1" applyFill="1" applyBorder="1"/>
    <xf numFmtId="167" fontId="28" fillId="33" borderId="32" xfId="27" applyNumberFormat="1" applyFill="1"/>
    <xf numFmtId="167" fontId="28" fillId="33" borderId="149" xfId="27" applyNumberFormat="1" applyFill="1" applyBorder="1"/>
    <xf numFmtId="167" fontId="28" fillId="33" borderId="150" xfId="27" applyNumberFormat="1" applyFill="1" applyBorder="1"/>
    <xf numFmtId="44" fontId="100" fillId="33" borderId="0" xfId="34" applyNumberFormat="1" applyFont="1" applyFill="1" applyAlignment="1">
      <alignment horizontal="left"/>
    </xf>
    <xf numFmtId="167" fontId="100" fillId="33" borderId="0" xfId="34" applyNumberFormat="1" applyFont="1" applyFill="1"/>
    <xf numFmtId="0" fontId="100" fillId="32" borderId="32" xfId="27" applyFont="1" applyFill="1" applyAlignment="1">
      <alignment horizontal="left" wrapText="1"/>
    </xf>
    <xf numFmtId="167" fontId="100" fillId="32" borderId="32" xfId="27" applyNumberFormat="1" applyFont="1" applyFill="1"/>
    <xf numFmtId="167" fontId="28" fillId="32" borderId="159" xfId="38" applyNumberFormat="1" applyFill="1" applyBorder="1"/>
    <xf numFmtId="167" fontId="28" fillId="32" borderId="160" xfId="24" applyNumberFormat="1" applyFont="1" applyFill="1" applyBorder="1" applyAlignment="1">
      <alignment horizontal="center"/>
    </xf>
    <xf numFmtId="167" fontId="28" fillId="33" borderId="32" xfId="27" applyNumberFormat="1" applyFill="1" applyAlignment="1">
      <alignment horizontal="right"/>
    </xf>
    <xf numFmtId="167" fontId="28" fillId="33" borderId="150" xfId="24" applyNumberFormat="1" applyFont="1" applyFill="1" applyBorder="1"/>
    <xf numFmtId="41" fontId="50" fillId="0" borderId="161" xfId="0" applyNumberFormat="1" applyFont="1" applyBorder="1" applyAlignment="1">
      <alignment horizontal="center"/>
    </xf>
    <xf numFmtId="41" fontId="49" fillId="9" borderId="4" xfId="0" applyNumberFormat="1" applyFont="1" applyFill="1" applyBorder="1"/>
    <xf numFmtId="41" fontId="49" fillId="9" borderId="47" xfId="0" applyNumberFormat="1" applyFont="1" applyFill="1" applyBorder="1"/>
    <xf numFmtId="41" fontId="50" fillId="0" borderId="47" xfId="0" applyNumberFormat="1" applyFont="1" applyBorder="1" applyAlignment="1">
      <alignment horizontal="center"/>
    </xf>
    <xf numFmtId="41" fontId="50" fillId="0" borderId="162" xfId="0" applyNumberFormat="1" applyFont="1" applyBorder="1"/>
    <xf numFmtId="167" fontId="28" fillId="32" borderId="30" xfId="24" applyNumberFormat="1" applyFont="1" applyFill="1" applyBorder="1"/>
    <xf numFmtId="41" fontId="50" fillId="0" borderId="47" xfId="0" applyNumberFormat="1" applyFont="1" applyBorder="1" applyAlignment="1">
      <alignment horizontal="center" wrapText="1"/>
    </xf>
    <xf numFmtId="167" fontId="28" fillId="32" borderId="11" xfId="24" applyNumberFormat="1" applyFont="1" applyFill="1" applyBorder="1" applyAlignment="1">
      <alignment horizontal="right"/>
    </xf>
    <xf numFmtId="41" fontId="49" fillId="0" borderId="163" xfId="0" applyNumberFormat="1" applyFont="1" applyBorder="1"/>
    <xf numFmtId="0" fontId="0" fillId="0" borderId="42" xfId="0" applyBorder="1"/>
    <xf numFmtId="41" fontId="50" fillId="11" borderId="161" xfId="0" applyNumberFormat="1" applyFont="1" applyFill="1" applyBorder="1" applyAlignment="1">
      <alignment horizontal="center" wrapText="1"/>
    </xf>
    <xf numFmtId="41" fontId="49" fillId="0" borderId="4" xfId="0" applyNumberFormat="1" applyFont="1" applyBorder="1"/>
    <xf numFmtId="41" fontId="49" fillId="0" borderId="47" xfId="0" applyNumberFormat="1" applyFont="1" applyBorder="1"/>
    <xf numFmtId="0" fontId="0" fillId="0" borderId="164" xfId="0" applyBorder="1"/>
    <xf numFmtId="41" fontId="50" fillId="0" borderId="42" xfId="0" applyNumberFormat="1" applyFont="1" applyBorder="1" applyAlignment="1">
      <alignment horizontal="center" wrapText="1"/>
    </xf>
    <xf numFmtId="41" fontId="49" fillId="0" borderId="165" xfId="0" applyNumberFormat="1" applyFont="1" applyBorder="1"/>
    <xf numFmtId="41" fontId="50" fillId="0" borderId="92" xfId="0" applyNumberFormat="1" applyFont="1" applyBorder="1"/>
    <xf numFmtId="0" fontId="0" fillId="0" borderId="40" xfId="0" applyBorder="1"/>
    <xf numFmtId="41" fontId="49" fillId="0" borderId="166" xfId="0" applyNumberFormat="1" applyFont="1" applyBorder="1"/>
    <xf numFmtId="0" fontId="50" fillId="0" borderId="84" xfId="0" applyFont="1" applyBorder="1" applyAlignment="1">
      <alignment horizontal="center" wrapText="1"/>
    </xf>
    <xf numFmtId="41" fontId="17" fillId="0" borderId="47" xfId="0" applyNumberFormat="1" applyFont="1" applyBorder="1" applyAlignment="1">
      <alignment horizontal="center" wrapText="1"/>
    </xf>
    <xf numFmtId="41" fontId="50" fillId="0" borderId="166" xfId="0" applyNumberFormat="1" applyFont="1" applyBorder="1" applyAlignment="1">
      <alignment horizontal="center" wrapText="1"/>
    </xf>
    <xf numFmtId="0" fontId="93" fillId="0" borderId="42" xfId="32" applyFont="1" applyBorder="1" applyAlignment="1">
      <alignment vertical="center" wrapText="1"/>
    </xf>
    <xf numFmtId="167" fontId="16" fillId="33" borderId="76" xfId="24" applyNumberFormat="1" applyFont="1" applyFill="1" applyBorder="1" applyAlignment="1">
      <alignment wrapText="1"/>
    </xf>
    <xf numFmtId="0" fontId="37" fillId="33" borderId="30" xfId="0" applyFont="1" applyFill="1" applyBorder="1" applyAlignment="1">
      <alignment wrapText="1"/>
    </xf>
    <xf numFmtId="10" fontId="31" fillId="33" borderId="78" xfId="30" applyNumberFormat="1" applyFill="1" applyBorder="1" applyAlignment="1">
      <alignment wrapText="1"/>
    </xf>
    <xf numFmtId="0" fontId="37" fillId="33" borderId="124" xfId="0" applyFont="1" applyFill="1" applyBorder="1" applyAlignment="1">
      <alignment wrapText="1"/>
    </xf>
    <xf numFmtId="167" fontId="100" fillId="33" borderId="0" xfId="20" applyNumberFormat="1" applyFont="1" applyFill="1" applyBorder="1"/>
    <xf numFmtId="0" fontId="100" fillId="33" borderId="0" xfId="20" applyFont="1" applyFill="1" applyBorder="1" applyAlignment="1"/>
    <xf numFmtId="167" fontId="100" fillId="32" borderId="0" xfId="17" applyNumberFormat="1" applyFont="1" applyFill="1" applyBorder="1"/>
    <xf numFmtId="167" fontId="100" fillId="32" borderId="30" xfId="17" applyNumberFormat="1" applyFont="1" applyFill="1" applyBorder="1"/>
    <xf numFmtId="0" fontId="100" fillId="32" borderId="0" xfId="17" applyFont="1" applyFill="1" applyBorder="1" applyAlignment="1">
      <alignment wrapText="1"/>
    </xf>
    <xf numFmtId="0" fontId="28" fillId="33" borderId="0" xfId="20" applyFont="1" applyFill="1" applyBorder="1" applyAlignment="1"/>
    <xf numFmtId="0" fontId="35" fillId="32" borderId="0" xfId="17" applyFont="1" applyFill="1" applyBorder="1" applyAlignment="1"/>
    <xf numFmtId="0" fontId="35" fillId="33" borderId="0" xfId="20" applyFont="1" applyFill="1" applyBorder="1" applyAlignment="1"/>
    <xf numFmtId="0" fontId="28" fillId="32" borderId="0" xfId="17" applyFont="1" applyFill="1" applyBorder="1" applyAlignment="1"/>
    <xf numFmtId="167" fontId="28" fillId="32" borderId="0" xfId="17" applyNumberFormat="1" applyFont="1" applyFill="1" applyBorder="1"/>
    <xf numFmtId="0" fontId="28" fillId="32" borderId="0" xfId="17" applyFont="1" applyFill="1" applyAlignment="1"/>
    <xf numFmtId="0" fontId="28" fillId="33" borderId="0" xfId="17" applyFont="1" applyFill="1" applyBorder="1" applyAlignment="1"/>
    <xf numFmtId="0" fontId="37" fillId="33" borderId="76" xfId="0" applyFont="1" applyFill="1" applyBorder="1" applyAlignment="1">
      <alignment wrapText="1"/>
    </xf>
    <xf numFmtId="0" fontId="104" fillId="0" borderId="0" xfId="0" applyFont="1"/>
    <xf numFmtId="0" fontId="105" fillId="0" borderId="2" xfId="0" applyFont="1" applyBorder="1"/>
    <xf numFmtId="0" fontId="104" fillId="0" borderId="2" xfId="0" applyFont="1" applyBorder="1"/>
    <xf numFmtId="10" fontId="104" fillId="12" borderId="2" xfId="1" applyNumberFormat="1" applyFont="1" applyFill="1" applyBorder="1"/>
    <xf numFmtId="0" fontId="104" fillId="12" borderId="2" xfId="0" applyFont="1" applyFill="1" applyBorder="1"/>
    <xf numFmtId="0" fontId="105" fillId="0" borderId="29" xfId="0" applyFont="1" applyBorder="1" applyAlignment="1">
      <alignment wrapText="1"/>
    </xf>
    <xf numFmtId="167" fontId="106" fillId="0" borderId="29" xfId="24" applyNumberFormat="1" applyFont="1" applyBorder="1"/>
    <xf numFmtId="165" fontId="105" fillId="0" borderId="29" xfId="0" applyNumberFormat="1" applyFont="1" applyBorder="1" applyAlignment="1">
      <alignment wrapText="1"/>
    </xf>
    <xf numFmtId="167" fontId="106" fillId="0" borderId="29" xfId="24" applyNumberFormat="1" applyFont="1" applyBorder="1" applyAlignment="1">
      <alignment wrapText="1"/>
    </xf>
    <xf numFmtId="165" fontId="105" fillId="0" borderId="0" xfId="0" applyNumberFormat="1" applyFont="1" applyAlignment="1">
      <alignment wrapText="1"/>
    </xf>
    <xf numFmtId="0" fontId="104" fillId="0" borderId="29" xfId="0" applyFont="1" applyBorder="1"/>
    <xf numFmtId="0" fontId="107" fillId="0" borderId="29" xfId="0" applyFont="1" applyBorder="1" applyAlignment="1">
      <alignment vertical="center" wrapText="1"/>
    </xf>
    <xf numFmtId="165" fontId="105" fillId="0" borderId="29" xfId="17" applyNumberFormat="1" applyFont="1" applyFill="1" applyBorder="1" applyAlignment="1" applyProtection="1">
      <alignment horizontal="right"/>
    </xf>
    <xf numFmtId="0" fontId="55" fillId="15" borderId="119" xfId="29" applyFont="1" applyBorder="1" applyAlignment="1">
      <alignment wrapText="1"/>
    </xf>
    <xf numFmtId="0" fontId="59" fillId="0" borderId="0" xfId="33" applyFont="1" applyBorder="1" applyAlignment="1">
      <alignment wrapText="1"/>
    </xf>
    <xf numFmtId="0" fontId="55" fillId="9" borderId="0" xfId="29" applyFont="1" applyFill="1" applyBorder="1" applyAlignment="1">
      <alignment wrapText="1"/>
    </xf>
    <xf numFmtId="0" fontId="110" fillId="0" borderId="0" xfId="33" applyFont="1" applyAlignment="1">
      <alignment wrapText="1"/>
    </xf>
    <xf numFmtId="0" fontId="111" fillId="0" borderId="0" xfId="33" applyFont="1" applyAlignment="1">
      <alignment vertical="center"/>
    </xf>
    <xf numFmtId="0" fontId="113" fillId="0" borderId="0" xfId="0" applyFont="1"/>
    <xf numFmtId="0" fontId="114" fillId="0" borderId="0" xfId="0" applyFont="1"/>
    <xf numFmtId="0" fontId="115" fillId="0" borderId="0" xfId="0" applyFont="1"/>
    <xf numFmtId="0" fontId="111" fillId="0" borderId="0" xfId="33" applyFont="1" applyBorder="1" applyAlignment="1">
      <alignment vertical="center"/>
    </xf>
    <xf numFmtId="14" fontId="89" fillId="31" borderId="4" xfId="28" applyNumberFormat="1" applyFont="1" applyFill="1" applyBorder="1"/>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3" xfId="0" applyFont="1" applyBorder="1" applyAlignment="1">
      <alignment horizontal="left" wrapText="1"/>
    </xf>
    <xf numFmtId="0" fontId="18" fillId="0" borderId="5" xfId="0" applyFont="1" applyBorder="1" applyAlignment="1">
      <alignment horizontal="left" wrapText="1"/>
    </xf>
    <xf numFmtId="0" fontId="92" fillId="0" borderId="0" xfId="32" applyFont="1" applyFill="1" applyBorder="1" applyAlignment="1">
      <alignment vertical="center" wrapText="1"/>
    </xf>
    <xf numFmtId="0" fontId="5" fillId="9" borderId="0" xfId="0" applyFont="1" applyFill="1" applyAlignment="1">
      <alignment wrapText="1"/>
    </xf>
    <xf numFmtId="0" fontId="29" fillId="9" borderId="0" xfId="28" applyFill="1" applyBorder="1"/>
    <xf numFmtId="168" fontId="31" fillId="9" borderId="0" xfId="30" applyNumberFormat="1" applyFill="1" applyBorder="1"/>
    <xf numFmtId="9" fontId="29" fillId="9" borderId="0" xfId="1" applyFont="1" applyFill="1" applyBorder="1"/>
    <xf numFmtId="0" fontId="68" fillId="9" borderId="2" xfId="0" applyFont="1" applyFill="1" applyBorder="1" applyAlignment="1">
      <alignment wrapText="1"/>
    </xf>
    <xf numFmtId="9" fontId="118" fillId="31" borderId="2" xfId="1" applyFont="1" applyFill="1" applyBorder="1" applyAlignment="1">
      <alignment horizontal="center" wrapText="1"/>
    </xf>
    <xf numFmtId="0" fontId="118" fillId="31" borderId="2" xfId="0" applyFont="1" applyFill="1" applyBorder="1" applyAlignment="1">
      <alignment horizontal="center" wrapText="1"/>
    </xf>
    <xf numFmtId="0" fontId="69" fillId="31" borderId="2" xfId="32" applyFont="1" applyFill="1" applyBorder="1" applyAlignment="1">
      <alignment horizontal="center" vertical="center" wrapText="1"/>
    </xf>
    <xf numFmtId="0" fontId="68" fillId="0" borderId="2" xfId="32" applyFont="1" applyFill="1" applyBorder="1" applyAlignment="1">
      <alignment vertical="center" wrapText="1"/>
    </xf>
    <xf numFmtId="2" fontId="31" fillId="15" borderId="33" xfId="30" applyNumberFormat="1" applyAlignment="1">
      <alignment vertical="center" wrapText="1"/>
    </xf>
    <xf numFmtId="0" fontId="45" fillId="0" borderId="2" xfId="33" applyFont="1" applyBorder="1" applyAlignment="1"/>
    <xf numFmtId="0" fontId="34" fillId="0" borderId="0" xfId="33" applyBorder="1" applyAlignment="1"/>
    <xf numFmtId="0" fontId="68" fillId="0" borderId="2" xfId="32" applyFont="1" applyFill="1" applyBorder="1" applyAlignment="1">
      <alignment horizontal="center" wrapText="1"/>
    </xf>
    <xf numFmtId="9" fontId="118" fillId="31" borderId="2" xfId="1" applyFont="1" applyFill="1" applyBorder="1" applyAlignment="1">
      <alignment vertical="center" wrapText="1"/>
    </xf>
    <xf numFmtId="2" fontId="118" fillId="31" borderId="2" xfId="1" applyNumberFormat="1" applyFont="1" applyFill="1" applyBorder="1" applyAlignment="1">
      <alignment vertical="center" wrapText="1"/>
    </xf>
    <xf numFmtId="167" fontId="30" fillId="28" borderId="113" xfId="24" applyNumberFormat="1" applyFont="1" applyFill="1" applyBorder="1"/>
    <xf numFmtId="167" fontId="30" fillId="28" borderId="53" xfId="24" applyNumberFormat="1" applyFont="1" applyFill="1" applyBorder="1"/>
    <xf numFmtId="167" fontId="28" fillId="20" borderId="0" xfId="24" applyNumberFormat="1" applyFont="1" applyFill="1" applyAlignment="1">
      <alignment horizontal="right"/>
    </xf>
    <xf numFmtId="0" fontId="118" fillId="0" borderId="0" xfId="0" applyFont="1"/>
    <xf numFmtId="41" fontId="118" fillId="0" borderId="0" xfId="0" applyNumberFormat="1" applyFont="1"/>
    <xf numFmtId="0" fontId="28" fillId="0" borderId="32" xfId="27"/>
    <xf numFmtId="0" fontId="69" fillId="0" borderId="2" xfId="0" applyFont="1" applyBorder="1" applyAlignment="1">
      <alignment vertical="center"/>
    </xf>
    <xf numFmtId="0" fontId="69" fillId="0" borderId="2" xfId="0" applyFont="1" applyBorder="1" applyAlignment="1">
      <alignment horizontal="left" vertical="center"/>
    </xf>
    <xf numFmtId="0" fontId="120" fillId="0" borderId="0" xfId="0" applyFont="1" applyAlignment="1">
      <alignment horizontal="left"/>
    </xf>
    <xf numFmtId="0" fontId="121" fillId="38" borderId="0" xfId="0" applyFont="1" applyFill="1"/>
    <xf numFmtId="167" fontId="30" fillId="15" borderId="34" xfId="29" applyNumberFormat="1" applyAlignment="1">
      <alignment vertical="center"/>
    </xf>
    <xf numFmtId="0" fontId="118" fillId="0" borderId="2" xfId="0" applyFont="1" applyBorder="1"/>
    <xf numFmtId="0" fontId="118" fillId="0" borderId="25" xfId="0" applyFont="1" applyBorder="1"/>
    <xf numFmtId="0" fontId="118" fillId="0" borderId="24" xfId="0" applyFont="1" applyBorder="1"/>
    <xf numFmtId="0" fontId="118" fillId="0" borderId="171" xfId="0" applyFont="1" applyBorder="1"/>
    <xf numFmtId="41" fontId="122" fillId="15" borderId="34" xfId="29" applyNumberFormat="1" applyFont="1"/>
    <xf numFmtId="41" fontId="122" fillId="15" borderId="169" xfId="29" applyNumberFormat="1" applyFont="1" applyBorder="1"/>
    <xf numFmtId="41" fontId="122" fillId="15" borderId="44" xfId="29" applyNumberFormat="1" applyFont="1" applyBorder="1"/>
    <xf numFmtId="41" fontId="122" fillId="15" borderId="170" xfId="29" applyNumberFormat="1" applyFont="1" applyBorder="1"/>
    <xf numFmtId="167" fontId="30" fillId="20" borderId="34" xfId="29" applyNumberFormat="1" applyFill="1" applyAlignment="1">
      <alignment vertical="center"/>
    </xf>
    <xf numFmtId="41" fontId="30" fillId="20" borderId="34" xfId="29" applyNumberFormat="1" applyFill="1"/>
    <xf numFmtId="41" fontId="122" fillId="20" borderId="34" xfId="29" applyNumberFormat="1" applyFont="1" applyFill="1"/>
    <xf numFmtId="41" fontId="122" fillId="20" borderId="169" xfId="29" applyNumberFormat="1" applyFont="1" applyFill="1" applyBorder="1"/>
    <xf numFmtId="41" fontId="122" fillId="20" borderId="44" xfId="29" applyNumberFormat="1" applyFont="1" applyFill="1" applyBorder="1"/>
    <xf numFmtId="41" fontId="122" fillId="20" borderId="172" xfId="29" applyNumberFormat="1" applyFont="1" applyFill="1" applyBorder="1"/>
    <xf numFmtId="0" fontId="124" fillId="0" borderId="0" xfId="33" applyFont="1"/>
    <xf numFmtId="44" fontId="124" fillId="0" borderId="0" xfId="33" applyNumberFormat="1" applyFont="1" applyFill="1"/>
    <xf numFmtId="44" fontId="125" fillId="0" borderId="0" xfId="24" applyFont="1" applyFill="1"/>
    <xf numFmtId="0" fontId="126" fillId="0" borderId="0" xfId="33" applyFont="1"/>
    <xf numFmtId="44" fontId="126" fillId="0" borderId="0" xfId="33" applyNumberFormat="1" applyFont="1" applyFill="1"/>
    <xf numFmtId="0" fontId="35" fillId="0" borderId="168" xfId="40"/>
    <xf numFmtId="0" fontId="87" fillId="0" borderId="0" xfId="33" applyFont="1"/>
    <xf numFmtId="0" fontId="69" fillId="0" borderId="52" xfId="0" applyFont="1" applyBorder="1" applyAlignment="1">
      <alignment horizontal="left" vertical="center"/>
    </xf>
    <xf numFmtId="0" fontId="69" fillId="0" borderId="52" xfId="0" applyFont="1" applyBorder="1" applyAlignment="1">
      <alignment vertical="center"/>
    </xf>
    <xf numFmtId="167" fontId="30" fillId="15" borderId="49" xfId="29" applyNumberFormat="1" applyBorder="1" applyAlignment="1">
      <alignment vertical="center"/>
    </xf>
    <xf numFmtId="0" fontId="118" fillId="0" borderId="0" xfId="0" applyFont="1" applyAlignment="1">
      <alignment horizontal="center"/>
    </xf>
    <xf numFmtId="41" fontId="30" fillId="15" borderId="49" xfId="29" applyNumberFormat="1" applyBorder="1"/>
    <xf numFmtId="41" fontId="71" fillId="33" borderId="2" xfId="0" applyNumberFormat="1" applyFont="1" applyFill="1" applyBorder="1"/>
    <xf numFmtId="167" fontId="30" fillId="20" borderId="49" xfId="29" applyNumberFormat="1" applyFill="1" applyBorder="1" applyAlignment="1">
      <alignment vertical="center"/>
    </xf>
    <xf numFmtId="41" fontId="131" fillId="11" borderId="2" xfId="0" applyNumberFormat="1" applyFont="1" applyFill="1" applyBorder="1"/>
    <xf numFmtId="0" fontId="118" fillId="0" borderId="173" xfId="0" applyFont="1" applyBorder="1"/>
    <xf numFmtId="41" fontId="122" fillId="20" borderId="99" xfId="29" applyNumberFormat="1" applyFont="1" applyFill="1" applyBorder="1"/>
    <xf numFmtId="41" fontId="131" fillId="33" borderId="2" xfId="0" applyNumberFormat="1" applyFont="1" applyFill="1" applyBorder="1"/>
    <xf numFmtId="41" fontId="131" fillId="33" borderId="0" xfId="0" applyNumberFormat="1" applyFont="1" applyFill="1"/>
    <xf numFmtId="0" fontId="28" fillId="0" borderId="32" xfId="27" applyAlignment="1">
      <alignment horizontal="center"/>
    </xf>
    <xf numFmtId="0" fontId="14" fillId="0" borderId="6" xfId="25" applyAlignment="1">
      <alignment horizontal="center"/>
    </xf>
    <xf numFmtId="167" fontId="30" fillId="33" borderId="34" xfId="29" applyNumberFormat="1" applyFill="1" applyAlignment="1">
      <alignment vertical="center"/>
    </xf>
    <xf numFmtId="41" fontId="30" fillId="33" borderId="34" xfId="29" applyNumberFormat="1" applyFill="1"/>
    <xf numFmtId="41" fontId="122" fillId="33" borderId="34" xfId="29" applyNumberFormat="1" applyFont="1" applyFill="1"/>
    <xf numFmtId="41" fontId="122" fillId="33" borderId="169" xfId="29" applyNumberFormat="1" applyFont="1" applyFill="1" applyBorder="1"/>
    <xf numFmtId="41" fontId="122" fillId="33" borderId="44" xfId="29" applyNumberFormat="1" applyFont="1" applyFill="1" applyBorder="1"/>
    <xf numFmtId="41" fontId="122" fillId="33" borderId="49" xfId="29" applyNumberFormat="1" applyFont="1" applyFill="1" applyBorder="1"/>
    <xf numFmtId="41" fontId="122" fillId="33" borderId="170" xfId="29" applyNumberFormat="1" applyFont="1" applyFill="1" applyBorder="1"/>
    <xf numFmtId="167" fontId="30" fillId="11" borderId="34" xfId="29" applyNumberFormat="1" applyFill="1" applyAlignment="1">
      <alignment vertical="center"/>
    </xf>
    <xf numFmtId="41" fontId="30" fillId="11" borderId="34" xfId="29" applyNumberFormat="1" applyFill="1"/>
    <xf numFmtId="41" fontId="122" fillId="11" borderId="34" xfId="29" applyNumberFormat="1" applyFont="1" applyFill="1"/>
    <xf numFmtId="41" fontId="122" fillId="11" borderId="49" xfId="29" applyNumberFormat="1" applyFont="1" applyFill="1" applyBorder="1"/>
    <xf numFmtId="41" fontId="122" fillId="11" borderId="170" xfId="29" applyNumberFormat="1" applyFont="1" applyFill="1" applyBorder="1"/>
    <xf numFmtId="41" fontId="122" fillId="11" borderId="44" xfId="29" applyNumberFormat="1" applyFont="1" applyFill="1" applyBorder="1"/>
    <xf numFmtId="41" fontId="122" fillId="11" borderId="169" xfId="29" applyNumberFormat="1" applyFont="1" applyFill="1" applyBorder="1"/>
    <xf numFmtId="9" fontId="118" fillId="9" borderId="0" xfId="1" applyFont="1" applyFill="1" applyBorder="1" applyAlignment="1">
      <alignment vertical="center" wrapText="1"/>
    </xf>
    <xf numFmtId="2" fontId="118" fillId="9" borderId="0" xfId="1" applyNumberFormat="1" applyFont="1" applyFill="1" applyBorder="1" applyAlignment="1">
      <alignment vertical="center" wrapText="1"/>
    </xf>
    <xf numFmtId="0" fontId="128" fillId="9" borderId="0" xfId="32" applyFont="1" applyFill="1" applyBorder="1" applyAlignment="1">
      <alignment horizontal="center" vertical="center" wrapText="1"/>
    </xf>
    <xf numFmtId="2" fontId="31" fillId="9" borderId="0" xfId="30" applyNumberFormat="1" applyFill="1" applyBorder="1" applyAlignment="1">
      <alignment vertical="center" wrapText="1"/>
    </xf>
    <xf numFmtId="2" fontId="31" fillId="15" borderId="174" xfId="30" applyNumberFormat="1" applyBorder="1" applyAlignment="1">
      <alignment vertical="center" wrapText="1"/>
    </xf>
    <xf numFmtId="44" fontId="118" fillId="31" borderId="2" xfId="21" applyFont="1" applyFill="1" applyBorder="1" applyAlignment="1">
      <alignment vertical="center"/>
    </xf>
    <xf numFmtId="44" fontId="118" fillId="9" borderId="7" xfId="21" applyFont="1" applyFill="1" applyBorder="1" applyAlignment="1">
      <alignment vertical="center"/>
    </xf>
    <xf numFmtId="2" fontId="118" fillId="9" borderId="0" xfId="1" applyNumberFormat="1" applyFont="1" applyFill="1" applyBorder="1" applyAlignment="1">
      <alignment horizontal="center" vertical="center"/>
    </xf>
    <xf numFmtId="44" fontId="31" fillId="9" borderId="7" xfId="21" applyFont="1" applyFill="1" applyBorder="1" applyAlignment="1">
      <alignment horizontal="center" vertical="center"/>
    </xf>
    <xf numFmtId="2" fontId="118" fillId="0" borderId="2" xfId="1" applyNumberFormat="1" applyFont="1" applyFill="1" applyBorder="1" applyAlignment="1">
      <alignment horizontal="center" vertical="center"/>
    </xf>
    <xf numFmtId="0" fontId="132" fillId="9" borderId="0" xfId="29" applyFont="1" applyFill="1" applyBorder="1" applyAlignment="1">
      <alignment horizontal="center" vertical="center" wrapText="1"/>
    </xf>
    <xf numFmtId="0" fontId="18" fillId="0" borderId="10" xfId="0" applyFont="1" applyBorder="1"/>
    <xf numFmtId="41" fontId="29" fillId="31" borderId="178" xfId="28" applyNumberFormat="1" applyFill="1" applyBorder="1"/>
    <xf numFmtId="167" fontId="1" fillId="20" borderId="74" xfId="36" applyNumberFormat="1" applyFill="1" applyBorder="1" applyAlignment="1">
      <alignment wrapText="1"/>
    </xf>
    <xf numFmtId="167" fontId="1" fillId="28" borderId="180" xfId="35" applyNumberFormat="1" applyFill="1" applyBorder="1"/>
    <xf numFmtId="167" fontId="100" fillId="32" borderId="182" xfId="27" applyNumberFormat="1" applyFont="1" applyFill="1" applyBorder="1"/>
    <xf numFmtId="167" fontId="100" fillId="33" borderId="9" xfId="34" applyNumberFormat="1" applyFont="1" applyFill="1" applyBorder="1"/>
    <xf numFmtId="167" fontId="28" fillId="33" borderId="182" xfId="27" applyNumberFormat="1" applyFill="1" applyBorder="1"/>
    <xf numFmtId="41" fontId="40" fillId="0" borderId="184" xfId="0" applyNumberFormat="1" applyFont="1" applyBorder="1" applyAlignment="1">
      <alignment horizontal="center" wrapText="1"/>
    </xf>
    <xf numFmtId="0" fontId="17" fillId="0" borderId="185" xfId="0" applyFont="1" applyBorder="1" applyAlignment="1">
      <alignment horizontal="center" wrapText="1"/>
    </xf>
    <xf numFmtId="167" fontId="27" fillId="19" borderId="54" xfId="26" applyNumberFormat="1" applyFill="1" applyBorder="1"/>
    <xf numFmtId="167" fontId="52" fillId="19" borderId="54" xfId="24" applyNumberFormat="1" applyFont="1" applyFill="1" applyBorder="1"/>
    <xf numFmtId="41" fontId="30" fillId="28" borderId="5" xfId="29" applyNumberFormat="1" applyFill="1" applyBorder="1" applyAlignment="1">
      <alignment horizontal="right"/>
    </xf>
    <xf numFmtId="167" fontId="52" fillId="19" borderId="9" xfId="24" applyNumberFormat="1" applyFont="1" applyFill="1" applyBorder="1"/>
    <xf numFmtId="41" fontId="40" fillId="0" borderId="186" xfId="0" applyNumberFormat="1" applyFont="1" applyBorder="1" applyAlignment="1">
      <alignment horizontal="center" wrapText="1"/>
    </xf>
    <xf numFmtId="167" fontId="28" fillId="20" borderId="187" xfId="24" applyNumberFormat="1" applyFont="1" applyFill="1" applyBorder="1" applyAlignment="1">
      <alignment horizontal="right"/>
    </xf>
    <xf numFmtId="167" fontId="52" fillId="19" borderId="54" xfId="24" applyNumberFormat="1" applyFont="1" applyFill="1" applyBorder="1" applyAlignment="1">
      <alignment wrapText="1"/>
    </xf>
    <xf numFmtId="167" fontId="52" fillId="19" borderId="9" xfId="24" applyNumberFormat="1" applyFont="1" applyFill="1" applyBorder="1" applyAlignment="1">
      <alignment wrapText="1"/>
    </xf>
    <xf numFmtId="0" fontId="0" fillId="19" borderId="54" xfId="0" applyFill="1" applyBorder="1"/>
    <xf numFmtId="167" fontId="28" fillId="19" borderId="54" xfId="27" applyNumberFormat="1" applyFill="1" applyBorder="1"/>
    <xf numFmtId="41" fontId="50" fillId="0" borderId="186" xfId="0" applyNumberFormat="1" applyFont="1" applyBorder="1"/>
    <xf numFmtId="167" fontId="28" fillId="33" borderId="188" xfId="27" applyNumberFormat="1" applyFill="1" applyBorder="1"/>
    <xf numFmtId="41" fontId="48" fillId="0" borderId="184" xfId="0" applyNumberFormat="1" applyFont="1" applyBorder="1" applyAlignment="1">
      <alignment horizontal="center"/>
    </xf>
    <xf numFmtId="167" fontId="31" fillId="28" borderId="69" xfId="30" applyNumberFormat="1" applyFill="1" applyBorder="1"/>
    <xf numFmtId="44" fontId="31" fillId="28" borderId="69" xfId="30" applyNumberFormat="1" applyFill="1" applyBorder="1"/>
    <xf numFmtId="41" fontId="29" fillId="31" borderId="46" xfId="28" applyNumberFormat="1" applyFill="1" applyBorder="1"/>
    <xf numFmtId="41" fontId="29" fillId="31" borderId="190" xfId="28" applyNumberFormat="1" applyFill="1" applyBorder="1"/>
    <xf numFmtId="0" fontId="29" fillId="31" borderId="46" xfId="28" applyFill="1" applyBorder="1"/>
    <xf numFmtId="41" fontId="29" fillId="31" borderId="46" xfId="28" applyNumberFormat="1" applyFill="1" applyBorder="1" applyAlignment="1"/>
    <xf numFmtId="167" fontId="30" fillId="28" borderId="43" xfId="24" applyNumberFormat="1" applyFont="1" applyFill="1" applyBorder="1"/>
    <xf numFmtId="41" fontId="29" fillId="31" borderId="190" xfId="28" applyNumberFormat="1" applyFill="1" applyBorder="1" applyAlignment="1"/>
    <xf numFmtId="41" fontId="29" fillId="31" borderId="191" xfId="28" applyNumberFormat="1" applyFill="1" applyBorder="1" applyAlignment="1"/>
    <xf numFmtId="41" fontId="29" fillId="31" borderId="69" xfId="28" applyNumberFormat="1" applyFill="1" applyBorder="1" applyAlignment="1"/>
    <xf numFmtId="41" fontId="30" fillId="28" borderId="5" xfId="29" applyNumberFormat="1" applyFill="1" applyBorder="1"/>
    <xf numFmtId="41" fontId="31" fillId="28" borderId="5" xfId="30" applyNumberFormat="1" applyFill="1" applyBorder="1" applyAlignment="1">
      <alignment horizontal="center"/>
    </xf>
    <xf numFmtId="41" fontId="29" fillId="31" borderId="69" xfId="28" applyNumberFormat="1" applyFill="1" applyBorder="1" applyAlignment="1">
      <alignment horizontal="center"/>
    </xf>
    <xf numFmtId="41" fontId="30" fillId="28" borderId="20" xfId="29" applyNumberFormat="1" applyFill="1" applyBorder="1"/>
    <xf numFmtId="167" fontId="96" fillId="26" borderId="181" xfId="26" applyNumberFormat="1" applyFont="1" applyFill="1" applyBorder="1"/>
    <xf numFmtId="167" fontId="31" fillId="15" borderId="192" xfId="30" applyNumberFormat="1" applyBorder="1"/>
    <xf numFmtId="41" fontId="30" fillId="15" borderId="194" xfId="29" applyNumberFormat="1" applyBorder="1" applyAlignment="1">
      <alignment horizontal="right"/>
    </xf>
    <xf numFmtId="41" fontId="30" fillId="15" borderId="193" xfId="29" applyNumberFormat="1" applyBorder="1" applyAlignment="1">
      <alignment horizontal="right"/>
    </xf>
    <xf numFmtId="167" fontId="28" fillId="20" borderId="11" xfId="24" applyNumberFormat="1" applyFont="1" applyFill="1" applyBorder="1" applyAlignment="1">
      <alignment horizontal="right"/>
    </xf>
    <xf numFmtId="167" fontId="31" fillId="15" borderId="195" xfId="30" applyNumberFormat="1" applyBorder="1"/>
    <xf numFmtId="167" fontId="31" fillId="15" borderId="196" xfId="30" applyNumberFormat="1" applyBorder="1"/>
    <xf numFmtId="167" fontId="29" fillId="31" borderId="197" xfId="28" applyNumberFormat="1" applyFill="1" applyBorder="1"/>
    <xf numFmtId="167" fontId="31" fillId="15" borderId="198" xfId="30" applyNumberFormat="1" applyBorder="1"/>
    <xf numFmtId="167" fontId="29" fillId="31" borderId="199" xfId="28" applyNumberFormat="1" applyFill="1" applyBorder="1"/>
    <xf numFmtId="9" fontId="1" fillId="11" borderId="104" xfId="36" applyNumberFormat="1" applyFill="1" applyBorder="1" applyAlignment="1" applyProtection="1">
      <alignment horizontal="center" vertical="center"/>
    </xf>
    <xf numFmtId="9" fontId="1" fillId="11" borderId="0" xfId="36" applyNumberFormat="1" applyFill="1" applyBorder="1" applyAlignment="1" applyProtection="1">
      <alignment horizontal="center" vertical="center"/>
    </xf>
    <xf numFmtId="0" fontId="134" fillId="0" borderId="2" xfId="0" applyFont="1" applyBorder="1" applyAlignment="1">
      <alignment wrapText="1"/>
    </xf>
    <xf numFmtId="0" fontId="134" fillId="0" borderId="2" xfId="0" applyFont="1" applyBorder="1"/>
    <xf numFmtId="0" fontId="136" fillId="0" borderId="0" xfId="0" applyFont="1" applyAlignment="1">
      <alignment wrapText="1"/>
    </xf>
    <xf numFmtId="0" fontId="136" fillId="0" borderId="22" xfId="0" applyFont="1" applyBorder="1" applyAlignment="1">
      <alignment wrapText="1"/>
    </xf>
    <xf numFmtId="0" fontId="136" fillId="0" borderId="30" xfId="0" applyFont="1" applyBorder="1" applyAlignment="1">
      <alignment wrapText="1"/>
    </xf>
    <xf numFmtId="0" fontId="136" fillId="0" borderId="0" xfId="0" applyFont="1"/>
    <xf numFmtId="0" fontId="136" fillId="0" borderId="30" xfId="0" applyFont="1" applyBorder="1"/>
    <xf numFmtId="167" fontId="18" fillId="8" borderId="2" xfId="24" applyNumberFormat="1" applyFont="1" applyFill="1" applyBorder="1" applyAlignment="1">
      <alignment horizontal="right"/>
    </xf>
    <xf numFmtId="167" fontId="18" fillId="11" borderId="55" xfId="24" applyNumberFormat="1" applyFont="1" applyFill="1" applyBorder="1"/>
    <xf numFmtId="167" fontId="28" fillId="32" borderId="4" xfId="24" applyNumberFormat="1" applyFont="1" applyFill="1" applyBorder="1"/>
    <xf numFmtId="167" fontId="28" fillId="32" borderId="30" xfId="24" applyNumberFormat="1" applyFont="1" applyFill="1" applyBorder="1" applyAlignment="1">
      <alignment horizontal="center"/>
    </xf>
    <xf numFmtId="167" fontId="28" fillId="32" borderId="0" xfId="24" applyNumberFormat="1" applyFont="1" applyFill="1" applyBorder="1" applyAlignment="1">
      <alignment horizontal="center"/>
    </xf>
    <xf numFmtId="0" fontId="50" fillId="0" borderId="42" xfId="0" applyFont="1" applyBorder="1"/>
    <xf numFmtId="167" fontId="29" fillId="31" borderId="39" xfId="24" applyNumberFormat="1" applyFont="1" applyFill="1" applyBorder="1"/>
    <xf numFmtId="167" fontId="28" fillId="33" borderId="0" xfId="24" applyNumberFormat="1" applyFont="1" applyFill="1" applyBorder="1" applyAlignment="1">
      <alignment horizontal="right"/>
    </xf>
    <xf numFmtId="167" fontId="28" fillId="33" borderId="0" xfId="24" applyNumberFormat="1" applyFont="1" applyFill="1" applyAlignment="1">
      <alignment horizontal="right"/>
    </xf>
    <xf numFmtId="2" fontId="31" fillId="15" borderId="126" xfId="30" applyNumberFormat="1" applyBorder="1" applyAlignment="1">
      <alignment horizontal="right" wrapText="1"/>
    </xf>
    <xf numFmtId="2" fontId="31" fillId="15" borderId="126" xfId="30" applyNumberFormat="1" applyBorder="1"/>
    <xf numFmtId="167" fontId="35" fillId="33" borderId="0" xfId="24" applyNumberFormat="1" applyFont="1" applyFill="1" applyAlignment="1">
      <alignment horizontal="right"/>
    </xf>
    <xf numFmtId="167" fontId="35" fillId="33" borderId="11" xfId="24" applyNumberFormat="1" applyFont="1" applyFill="1" applyBorder="1" applyAlignment="1">
      <alignment horizontal="right"/>
    </xf>
    <xf numFmtId="167" fontId="30" fillId="28" borderId="5" xfId="24" applyNumberFormat="1" applyFont="1" applyFill="1" applyBorder="1" applyAlignment="1">
      <alignment horizontal="right"/>
    </xf>
    <xf numFmtId="167" fontId="30" fillId="28" borderId="2" xfId="24" applyNumberFormat="1" applyFont="1" applyFill="1" applyBorder="1" applyAlignment="1">
      <alignment horizontal="right"/>
    </xf>
    <xf numFmtId="167" fontId="30" fillId="28" borderId="55" xfId="24" applyNumberFormat="1" applyFont="1" applyFill="1" applyBorder="1"/>
    <xf numFmtId="167" fontId="30" fillId="28" borderId="68" xfId="24" applyNumberFormat="1" applyFont="1" applyFill="1" applyBorder="1" applyAlignment="1">
      <alignment horizontal="right"/>
    </xf>
    <xf numFmtId="167" fontId="30" fillId="28" borderId="25" xfId="24" applyNumberFormat="1" applyFont="1" applyFill="1" applyBorder="1" applyAlignment="1">
      <alignment horizontal="right"/>
    </xf>
    <xf numFmtId="167" fontId="30" fillId="28" borderId="140" xfId="24" applyNumberFormat="1" applyFont="1" applyFill="1" applyBorder="1"/>
    <xf numFmtId="167" fontId="30" fillId="28" borderId="20" xfId="24" applyNumberFormat="1" applyFont="1" applyFill="1" applyBorder="1" applyAlignment="1">
      <alignment horizontal="right"/>
    </xf>
    <xf numFmtId="167" fontId="30" fillId="28" borderId="24" xfId="24" applyNumberFormat="1" applyFont="1" applyFill="1" applyBorder="1" applyAlignment="1">
      <alignment horizontal="right"/>
    </xf>
    <xf numFmtId="167" fontId="30" fillId="28" borderId="59" xfId="24" applyNumberFormat="1" applyFont="1" applyFill="1" applyBorder="1"/>
    <xf numFmtId="167" fontId="28" fillId="32" borderId="4" xfId="24" applyNumberFormat="1" applyFont="1" applyFill="1" applyBorder="1" applyAlignment="1">
      <alignment horizontal="right"/>
    </xf>
    <xf numFmtId="167" fontId="28" fillId="32" borderId="3" xfId="24" applyNumberFormat="1" applyFont="1" applyFill="1" applyBorder="1" applyAlignment="1">
      <alignment horizontal="right"/>
    </xf>
    <xf numFmtId="167" fontId="28" fillId="32" borderId="2" xfId="24" applyNumberFormat="1" applyFont="1" applyFill="1" applyBorder="1" applyAlignment="1">
      <alignment horizontal="right"/>
    </xf>
    <xf numFmtId="167" fontId="28" fillId="32" borderId="23" xfId="24" applyNumberFormat="1" applyFont="1" applyFill="1" applyBorder="1" applyAlignment="1">
      <alignment horizontal="right"/>
    </xf>
    <xf numFmtId="167" fontId="28" fillId="32" borderId="55" xfId="24" applyNumberFormat="1" applyFont="1" applyFill="1" applyBorder="1" applyAlignment="1">
      <alignment horizontal="right"/>
    </xf>
    <xf numFmtId="167" fontId="35" fillId="32" borderId="27" xfId="24" applyNumberFormat="1" applyFont="1" applyFill="1" applyBorder="1" applyAlignment="1">
      <alignment horizontal="center"/>
    </xf>
    <xf numFmtId="167" fontId="35" fillId="32" borderId="7" xfId="24" applyNumberFormat="1" applyFont="1" applyFill="1" applyBorder="1"/>
    <xf numFmtId="167" fontId="35" fillId="32" borderId="30" xfId="24" applyNumberFormat="1" applyFont="1" applyFill="1" applyBorder="1" applyAlignment="1">
      <alignment horizontal="center"/>
    </xf>
    <xf numFmtId="167" fontId="35" fillId="32" borderId="0" xfId="24" applyNumberFormat="1" applyFont="1" applyFill="1" applyBorder="1" applyAlignment="1">
      <alignment horizontal="center"/>
    </xf>
    <xf numFmtId="167" fontId="28" fillId="33" borderId="7" xfId="24" applyNumberFormat="1" applyFont="1" applyFill="1" applyBorder="1" applyAlignment="1">
      <alignment horizontal="right"/>
    </xf>
    <xf numFmtId="167" fontId="35" fillId="32" borderId="4" xfId="24" applyNumberFormat="1" applyFont="1" applyFill="1" applyBorder="1" applyAlignment="1">
      <alignment horizontal="right"/>
    </xf>
    <xf numFmtId="41" fontId="29" fillId="31" borderId="201" xfId="28" applyNumberFormat="1" applyFill="1" applyBorder="1"/>
    <xf numFmtId="41" fontId="29" fillId="31" borderId="126" xfId="28" applyNumberFormat="1" applyFill="1" applyBorder="1"/>
    <xf numFmtId="41" fontId="29" fillId="31" borderId="202" xfId="28" applyNumberFormat="1" applyFill="1" applyBorder="1"/>
    <xf numFmtId="167" fontId="28" fillId="33" borderId="159" xfId="24" applyNumberFormat="1" applyFont="1" applyFill="1" applyBorder="1"/>
    <xf numFmtId="167" fontId="28" fillId="33" borderId="0" xfId="24" applyNumberFormat="1" applyFont="1" applyFill="1"/>
    <xf numFmtId="167" fontId="28" fillId="33" borderId="189" xfId="24" applyNumberFormat="1" applyFont="1" applyFill="1" applyBorder="1"/>
    <xf numFmtId="167" fontId="17" fillId="28" borderId="5" xfId="24" applyNumberFormat="1" applyFont="1" applyFill="1" applyBorder="1" applyAlignment="1">
      <alignment horizontal="right"/>
    </xf>
    <xf numFmtId="167" fontId="17" fillId="28" borderId="2" xfId="24" applyNumberFormat="1" applyFont="1" applyFill="1" applyBorder="1" applyAlignment="1">
      <alignment horizontal="right"/>
    </xf>
    <xf numFmtId="167" fontId="17" fillId="28" borderId="55" xfId="24" applyNumberFormat="1" applyFont="1" applyFill="1" applyBorder="1"/>
    <xf numFmtId="41" fontId="17" fillId="28" borderId="5" xfId="0" applyNumberFormat="1" applyFont="1" applyFill="1" applyBorder="1" applyAlignment="1">
      <alignment horizontal="right"/>
    </xf>
    <xf numFmtId="41" fontId="17" fillId="28" borderId="2" xfId="0" applyNumberFormat="1" applyFont="1" applyFill="1" applyBorder="1" applyAlignment="1">
      <alignment horizontal="right"/>
    </xf>
    <xf numFmtId="41" fontId="17" fillId="28" borderId="55" xfId="0" applyNumberFormat="1" applyFont="1" applyFill="1" applyBorder="1"/>
    <xf numFmtId="167" fontId="28" fillId="33" borderId="11" xfId="24" applyNumberFormat="1" applyFont="1" applyFill="1" applyBorder="1"/>
    <xf numFmtId="167" fontId="28" fillId="33" borderId="0" xfId="20" applyNumberFormat="1" applyFont="1" applyFill="1" applyBorder="1" applyAlignment="1"/>
    <xf numFmtId="0" fontId="138" fillId="0" borderId="0" xfId="0" applyFont="1" applyAlignment="1">
      <alignment wrapText="1"/>
    </xf>
    <xf numFmtId="0" fontId="138" fillId="0" borderId="22" xfId="0" applyFont="1" applyBorder="1" applyAlignment="1">
      <alignment wrapText="1"/>
    </xf>
    <xf numFmtId="0" fontId="138" fillId="0" borderId="30" xfId="0" applyFont="1" applyBorder="1" applyAlignment="1">
      <alignment wrapText="1"/>
    </xf>
    <xf numFmtId="0" fontId="138" fillId="0" borderId="0" xfId="0" applyFont="1"/>
    <xf numFmtId="0" fontId="138" fillId="0" borderId="30" xfId="0" applyFont="1" applyBorder="1"/>
    <xf numFmtId="41" fontId="29" fillId="31" borderId="203" xfId="28" applyNumberFormat="1" applyFill="1" applyBorder="1"/>
    <xf numFmtId="41" fontId="29" fillId="31" borderId="204" xfId="28" applyNumberFormat="1" applyFill="1" applyBorder="1"/>
    <xf numFmtId="0" fontId="136" fillId="0" borderId="0" xfId="18" applyFont="1" applyFill="1" applyBorder="1" applyAlignment="1"/>
    <xf numFmtId="0" fontId="136" fillId="0" borderId="0" xfId="19" applyFont="1" applyFill="1" applyBorder="1" applyAlignment="1"/>
    <xf numFmtId="0" fontId="140" fillId="0" borderId="2" xfId="0" applyFont="1" applyBorder="1" applyAlignment="1">
      <alignment vertical="top" wrapText="1"/>
    </xf>
    <xf numFmtId="0" fontId="140" fillId="0" borderId="2" xfId="0" applyFont="1" applyBorder="1" applyAlignment="1">
      <alignment horizontal="left" vertical="top" wrapText="1"/>
    </xf>
    <xf numFmtId="167" fontId="29" fillId="31" borderId="179" xfId="28" applyNumberFormat="1" applyFill="1" applyBorder="1"/>
    <xf numFmtId="0" fontId="45" fillId="0" borderId="80" xfId="33" applyFont="1" applyBorder="1" applyAlignment="1">
      <alignment horizontal="center"/>
    </xf>
    <xf numFmtId="0" fontId="45" fillId="0" borderId="27" xfId="33" applyFont="1" applyBorder="1" applyAlignment="1">
      <alignment horizontal="center"/>
    </xf>
    <xf numFmtId="0" fontId="45" fillId="0" borderId="28" xfId="33" applyFont="1" applyBorder="1" applyAlignment="1">
      <alignment horizontal="center"/>
    </xf>
    <xf numFmtId="0" fontId="119" fillId="9" borderId="32" xfId="27" applyFont="1" applyFill="1" applyAlignment="1">
      <alignment horizontal="center" wrapText="1"/>
    </xf>
    <xf numFmtId="0" fontId="68" fillId="0" borderId="2" xfId="32" applyFont="1" applyFill="1" applyBorder="1" applyAlignment="1">
      <alignment horizontal="center" vertical="center" wrapText="1"/>
    </xf>
    <xf numFmtId="0" fontId="128" fillId="0" borderId="2" xfId="32" applyFont="1" applyFill="1" applyBorder="1" applyAlignment="1">
      <alignment horizontal="center" vertical="center" wrapText="1"/>
    </xf>
    <xf numFmtId="0" fontId="68" fillId="9" borderId="3" xfId="28" applyFont="1" applyFill="1" applyBorder="1" applyAlignment="1">
      <alignment horizontal="center"/>
    </xf>
    <xf numFmtId="0" fontId="68" fillId="9" borderId="5" xfId="28" applyFont="1" applyFill="1" applyBorder="1" applyAlignment="1">
      <alignment horizontal="center"/>
    </xf>
    <xf numFmtId="168" fontId="68" fillId="9" borderId="2" xfId="30" applyNumberFormat="1" applyFont="1" applyFill="1" applyBorder="1" applyAlignment="1">
      <alignment horizontal="center"/>
    </xf>
    <xf numFmtId="0" fontId="127" fillId="0" borderId="2" xfId="32" applyFont="1" applyFill="1" applyBorder="1" applyAlignment="1">
      <alignment horizontal="center" vertical="center" wrapText="1"/>
    </xf>
    <xf numFmtId="2" fontId="31" fillId="15" borderId="33" xfId="30" applyNumberFormat="1" applyAlignment="1">
      <alignment horizontal="center" vertical="center" wrapText="1"/>
    </xf>
    <xf numFmtId="0" fontId="68" fillId="0" borderId="175" xfId="32" applyFont="1" applyFill="1" applyBorder="1" applyAlignment="1">
      <alignment horizontal="center" vertical="center" wrapText="1"/>
    </xf>
    <xf numFmtId="0" fontId="68" fillId="0" borderId="176" xfId="32" applyFont="1" applyFill="1" applyBorder="1" applyAlignment="1">
      <alignment horizontal="center" vertical="center" wrapText="1"/>
    </xf>
    <xf numFmtId="0" fontId="68" fillId="0" borderId="177" xfId="32" applyFont="1" applyFill="1" applyBorder="1" applyAlignment="1">
      <alignment horizontal="center" vertical="center" wrapText="1"/>
    </xf>
    <xf numFmtId="44" fontId="31" fillId="15" borderId="3" xfId="21" applyFont="1" applyFill="1" applyBorder="1" applyAlignment="1">
      <alignment horizontal="center" vertical="center"/>
    </xf>
    <xf numFmtId="44" fontId="31" fillId="15" borderId="4" xfId="21" applyFont="1" applyFill="1" applyBorder="1" applyAlignment="1">
      <alignment horizontal="center" vertical="center"/>
    </xf>
    <xf numFmtId="44" fontId="31" fillId="15" borderId="5" xfId="21" applyFont="1" applyFill="1" applyBorder="1" applyAlignment="1">
      <alignment horizontal="center" vertical="center"/>
    </xf>
    <xf numFmtId="0" fontId="127" fillId="9" borderId="2" xfId="28" applyFont="1" applyFill="1" applyBorder="1" applyAlignment="1">
      <alignment horizontal="center"/>
    </xf>
    <xf numFmtId="168" fontId="31" fillId="15" borderId="33" xfId="30" applyNumberFormat="1" applyAlignment="1">
      <alignment horizontal="center"/>
    </xf>
    <xf numFmtId="0" fontId="25" fillId="13" borderId="0" xfId="0" applyFont="1" applyFill="1" applyAlignment="1">
      <alignment horizontal="center" wrapText="1"/>
    </xf>
    <xf numFmtId="0" fontId="25" fillId="36" borderId="0" xfId="0" applyFont="1" applyFill="1" applyAlignment="1">
      <alignment horizontal="center" wrapText="1"/>
    </xf>
    <xf numFmtId="0" fontId="109" fillId="35" borderId="0" xfId="0" applyFont="1" applyFill="1" applyAlignment="1">
      <alignment horizontal="center" wrapText="1"/>
    </xf>
    <xf numFmtId="0" fontId="53" fillId="34" borderId="0" xfId="0" applyFont="1" applyFill="1" applyAlignment="1">
      <alignment horizontal="center" wrapText="1"/>
    </xf>
    <xf numFmtId="0" fontId="53" fillId="10" borderId="0" xfId="0" applyFont="1" applyFill="1" applyAlignment="1">
      <alignment horizontal="center" wrapText="1"/>
    </xf>
    <xf numFmtId="0" fontId="127" fillId="9" borderId="2" xfId="1" applyNumberFormat="1" applyFont="1" applyFill="1" applyBorder="1" applyAlignment="1">
      <alignment horizontal="center"/>
    </xf>
    <xf numFmtId="2" fontId="31" fillId="15" borderId="33" xfId="30" applyNumberFormat="1" applyAlignment="1">
      <alignment horizontal="center"/>
    </xf>
    <xf numFmtId="0" fontId="53" fillId="39" borderId="0" xfId="0" applyFont="1" applyFill="1" applyAlignment="1">
      <alignment horizontal="center" wrapText="1"/>
    </xf>
    <xf numFmtId="0" fontId="123" fillId="40" borderId="0" xfId="37" applyFont="1" applyFill="1" applyAlignment="1">
      <alignment horizontal="center" vertical="center"/>
    </xf>
    <xf numFmtId="0" fontId="27" fillId="0" borderId="31" xfId="26" applyFill="1" applyAlignment="1">
      <alignment horizontal="center"/>
    </xf>
    <xf numFmtId="0" fontId="68" fillId="9" borderId="2" xfId="0" applyFont="1" applyFill="1" applyBorder="1" applyAlignment="1">
      <alignment horizontal="center" wrapText="1"/>
    </xf>
    <xf numFmtId="0" fontId="68" fillId="9" borderId="3" xfId="0" applyFont="1" applyFill="1" applyBorder="1" applyAlignment="1">
      <alignment horizontal="center"/>
    </xf>
    <xf numFmtId="0" fontId="68" fillId="9" borderId="5" xfId="0" applyFont="1" applyFill="1" applyBorder="1" applyAlignment="1">
      <alignment horizontal="center"/>
    </xf>
    <xf numFmtId="0" fontId="41" fillId="0" borderId="18" xfId="0" applyFont="1" applyBorder="1" applyAlignment="1">
      <alignment horizontal="center"/>
    </xf>
    <xf numFmtId="0" fontId="41" fillId="0" borderId="0" xfId="0" applyFont="1" applyAlignment="1">
      <alignment horizontal="center"/>
    </xf>
    <xf numFmtId="0" fontId="41" fillId="0" borderId="10" xfId="0" applyFont="1" applyBorder="1" applyAlignment="1">
      <alignment horizontal="center"/>
    </xf>
    <xf numFmtId="0" fontId="0" fillId="0" borderId="132" xfId="0" applyBorder="1" applyAlignment="1">
      <alignment horizontal="center"/>
    </xf>
    <xf numFmtId="0" fontId="0" fillId="0" borderId="27" xfId="0" applyBorder="1" applyAlignment="1">
      <alignment horizontal="center"/>
    </xf>
    <xf numFmtId="0" fontId="0" fillId="0" borderId="133" xfId="0" applyBorder="1" applyAlignment="1">
      <alignment horizontal="center"/>
    </xf>
    <xf numFmtId="0" fontId="41" fillId="0" borderId="3" xfId="0" applyFont="1" applyBorder="1" applyAlignment="1">
      <alignment horizontal="center"/>
    </xf>
    <xf numFmtId="0" fontId="41" fillId="0" borderId="4" xfId="0" applyFont="1" applyBorder="1" applyAlignment="1">
      <alignment horizontal="center"/>
    </xf>
    <xf numFmtId="0" fontId="41" fillId="0" borderId="5" xfId="0" applyFont="1" applyBorder="1" applyAlignment="1">
      <alignment horizontal="center"/>
    </xf>
    <xf numFmtId="0" fontId="41" fillId="0" borderId="16" xfId="2" applyFont="1" applyBorder="1" applyAlignment="1">
      <alignment horizontal="center" wrapText="1"/>
    </xf>
    <xf numFmtId="0" fontId="41" fillId="0" borderId="11" xfId="2" applyFont="1" applyBorder="1" applyAlignment="1">
      <alignment horizontal="center" wrapText="1"/>
    </xf>
    <xf numFmtId="0" fontId="41" fillId="0" borderId="109" xfId="2" applyFont="1" applyBorder="1" applyAlignment="1">
      <alignment horizontal="center" wrapText="1"/>
    </xf>
    <xf numFmtId="0" fontId="41" fillId="0" borderId="16" xfId="0" applyFont="1" applyBorder="1" applyAlignment="1">
      <alignment horizontal="center"/>
    </xf>
    <xf numFmtId="0" fontId="41" fillId="0" borderId="11" xfId="0" applyFont="1" applyBorder="1" applyAlignment="1">
      <alignment horizontal="center"/>
    </xf>
    <xf numFmtId="0" fontId="41" fillId="0" borderId="109" xfId="0" applyFont="1" applyBorder="1" applyAlignment="1">
      <alignment horizontal="center"/>
    </xf>
    <xf numFmtId="41" fontId="31" fillId="15" borderId="33" xfId="30" applyNumberFormat="1" applyAlignment="1">
      <alignment horizontal="center"/>
    </xf>
    <xf numFmtId="41" fontId="31" fillId="15" borderId="70" xfId="30" applyNumberFormat="1" applyBorder="1" applyAlignment="1">
      <alignment horizontal="center"/>
    </xf>
    <xf numFmtId="0" fontId="50" fillId="0" borderId="47" xfId="0" applyFont="1" applyBorder="1" applyAlignment="1">
      <alignment horizontal="center"/>
    </xf>
    <xf numFmtId="41" fontId="31" fillId="28" borderId="112" xfId="30" applyNumberFormat="1" applyFill="1" applyBorder="1" applyAlignment="1">
      <alignment horizontal="center"/>
    </xf>
    <xf numFmtId="41" fontId="31" fillId="28" borderId="111" xfId="30" applyNumberFormat="1" applyFill="1" applyBorder="1" applyAlignment="1">
      <alignment horizontal="center"/>
    </xf>
    <xf numFmtId="0" fontId="5" fillId="0" borderId="132" xfId="0" applyFont="1" applyBorder="1" applyAlignment="1">
      <alignment horizontal="center"/>
    </xf>
    <xf numFmtId="0" fontId="5" fillId="0" borderId="133" xfId="0" applyFont="1" applyBorder="1" applyAlignment="1">
      <alignment horizontal="center"/>
    </xf>
    <xf numFmtId="0" fontId="134" fillId="0" borderId="3" xfId="0" applyFont="1" applyBorder="1" applyAlignment="1">
      <alignment horizontal="center"/>
    </xf>
    <xf numFmtId="0" fontId="134" fillId="0" borderId="5" xfId="0" applyFont="1" applyBorder="1" applyAlignment="1">
      <alignment horizontal="center"/>
    </xf>
    <xf numFmtId="0" fontId="96" fillId="21" borderId="31" xfId="26" applyFont="1" applyFill="1" applyAlignment="1">
      <alignment horizontal="left" vertical="center"/>
    </xf>
    <xf numFmtId="41" fontId="30" fillId="28" borderId="64" xfId="29" applyNumberFormat="1" applyFill="1" applyBorder="1" applyAlignment="1">
      <alignment horizontal="center"/>
    </xf>
    <xf numFmtId="41" fontId="30" fillId="28" borderId="71" xfId="29" applyNumberFormat="1" applyFill="1" applyBorder="1" applyAlignment="1">
      <alignment horizontal="center"/>
    </xf>
    <xf numFmtId="41" fontId="31" fillId="28" borderId="46" xfId="30" applyNumberFormat="1" applyFill="1" applyBorder="1" applyAlignment="1">
      <alignment horizontal="center"/>
    </xf>
    <xf numFmtId="41" fontId="31" fillId="28" borderId="69" xfId="30" applyNumberFormat="1" applyFill="1" applyBorder="1" applyAlignment="1">
      <alignment horizontal="center"/>
    </xf>
    <xf numFmtId="41" fontId="30" fillId="28" borderId="53" xfId="29" applyNumberFormat="1" applyFill="1" applyBorder="1" applyAlignment="1">
      <alignment horizontal="center"/>
    </xf>
    <xf numFmtId="0" fontId="116" fillId="0" borderId="42" xfId="32" applyFont="1" applyFill="1" applyBorder="1" applyAlignment="1">
      <alignment horizontal="center" vertical="center" wrapText="1"/>
    </xf>
    <xf numFmtId="0" fontId="116" fillId="0" borderId="0" xfId="32" applyFont="1" applyFill="1" applyBorder="1" applyAlignment="1">
      <alignment horizontal="center" vertical="center" wrapText="1"/>
    </xf>
    <xf numFmtId="0" fontId="5" fillId="0" borderId="3" xfId="0" applyFont="1" applyBorder="1"/>
    <xf numFmtId="0" fontId="5" fillId="0" borderId="5" xfId="0" applyFont="1" applyBorder="1"/>
    <xf numFmtId="0" fontId="5" fillId="0" borderId="3" xfId="0" applyFont="1" applyBorder="1" applyAlignment="1">
      <alignment vertical="center"/>
    </xf>
    <xf numFmtId="0" fontId="5" fillId="0" borderId="5" xfId="0" applyFont="1" applyBorder="1" applyAlignment="1">
      <alignment vertical="center"/>
    </xf>
    <xf numFmtId="0" fontId="97" fillId="21" borderId="31" xfId="33" applyFont="1" applyFill="1" applyBorder="1" applyAlignment="1">
      <alignment horizontal="center" vertical="center"/>
    </xf>
    <xf numFmtId="0" fontId="18" fillId="0" borderId="77" xfId="0" applyFont="1" applyBorder="1" applyAlignment="1">
      <alignment horizontal="center" wrapText="1"/>
    </xf>
    <xf numFmtId="0" fontId="72" fillId="33" borderId="76" xfId="36" applyFont="1" applyFill="1" applyBorder="1" applyAlignment="1">
      <alignment horizontal="center" wrapText="1"/>
    </xf>
    <xf numFmtId="9" fontId="33" fillId="33" borderId="79" xfId="32" applyNumberFormat="1" applyFill="1" applyBorder="1" applyAlignment="1">
      <alignment horizontal="center" wrapText="1"/>
    </xf>
    <xf numFmtId="9" fontId="29" fillId="37" borderId="30" xfId="28" applyNumberFormat="1" applyFill="1" applyBorder="1" applyAlignment="1">
      <alignment horizontal="center" wrapText="1"/>
    </xf>
    <xf numFmtId="0" fontId="32" fillId="11" borderId="35" xfId="31" applyFill="1" applyAlignment="1">
      <alignment horizontal="left" vertical="top" wrapText="1"/>
    </xf>
    <xf numFmtId="0" fontId="98" fillId="21" borderId="6" xfId="25" applyFont="1" applyFill="1" applyAlignment="1">
      <alignment horizontal="left"/>
    </xf>
    <xf numFmtId="0" fontId="33" fillId="0" borderId="42" xfId="32" applyBorder="1" applyAlignment="1">
      <alignment horizontal="center" vertical="center" wrapText="1"/>
    </xf>
    <xf numFmtId="0" fontId="33" fillId="0" borderId="0" xfId="32" applyBorder="1" applyAlignment="1">
      <alignment horizontal="center" vertical="center" wrapText="1"/>
    </xf>
    <xf numFmtId="0" fontId="50" fillId="0" borderId="3" xfId="0" applyFont="1" applyBorder="1" applyAlignment="1">
      <alignment horizontal="center"/>
    </xf>
    <xf numFmtId="0" fontId="50" fillId="0" borderId="5" xfId="0" applyFont="1" applyBorder="1" applyAlignment="1">
      <alignment horizontal="center"/>
    </xf>
    <xf numFmtId="0" fontId="34" fillId="0" borderId="22" xfId="33" applyBorder="1" applyAlignment="1">
      <alignment horizontal="center" vertical="center" wrapText="1"/>
    </xf>
    <xf numFmtId="0" fontId="37" fillId="9" borderId="76" xfId="0" applyFont="1" applyFill="1" applyBorder="1" applyAlignment="1">
      <alignment horizontal="center" wrapText="1"/>
    </xf>
    <xf numFmtId="0" fontId="37" fillId="9" borderId="135" xfId="0" applyFont="1" applyFill="1" applyBorder="1" applyAlignment="1">
      <alignment horizontal="center" wrapText="1"/>
    </xf>
    <xf numFmtId="0" fontId="34" fillId="9" borderId="0" xfId="33" applyFill="1" applyBorder="1" applyAlignment="1">
      <alignment horizontal="center" vertical="center" wrapText="1"/>
    </xf>
    <xf numFmtId="0" fontId="34" fillId="9" borderId="9" xfId="33" applyFill="1" applyBorder="1" applyAlignment="1">
      <alignment horizontal="center" vertical="center" wrapText="1"/>
    </xf>
    <xf numFmtId="0" fontId="33" fillId="0" borderId="84" xfId="32" applyBorder="1" applyAlignment="1">
      <alignment horizontal="center" vertical="center" wrapText="1"/>
    </xf>
    <xf numFmtId="0" fontId="18" fillId="0" borderId="16" xfId="0" applyFont="1" applyBorder="1" applyAlignment="1">
      <alignment horizontal="center" wrapText="1"/>
    </xf>
    <xf numFmtId="0" fontId="18" fillId="0" borderId="11" xfId="0" applyFont="1" applyBorder="1" applyAlignment="1">
      <alignment horizontal="center" wrapText="1"/>
    </xf>
    <xf numFmtId="0" fontId="18" fillId="0" borderId="109" xfId="0" applyFont="1" applyBorder="1" applyAlignment="1">
      <alignment horizontal="center" wrapText="1"/>
    </xf>
    <xf numFmtId="0" fontId="18" fillId="0" borderId="3" xfId="0" applyFont="1" applyBorder="1" applyAlignment="1">
      <alignment horizontal="center" wrapText="1"/>
    </xf>
    <xf numFmtId="0" fontId="18" fillId="0" borderId="4" xfId="0" applyFont="1" applyBorder="1" applyAlignment="1">
      <alignment horizontal="center" wrapText="1"/>
    </xf>
    <xf numFmtId="0" fontId="18" fillId="0" borderId="5" xfId="0" applyFont="1" applyBorder="1" applyAlignment="1">
      <alignment horizontal="center" wrapText="1"/>
    </xf>
    <xf numFmtId="0" fontId="18" fillId="0" borderId="132" xfId="0" applyFont="1" applyBorder="1" applyAlignment="1">
      <alignment horizontal="center" wrapText="1"/>
    </xf>
    <xf numFmtId="0" fontId="18" fillId="0" borderId="27" xfId="0" applyFont="1" applyBorder="1" applyAlignment="1">
      <alignment horizontal="center" wrapText="1"/>
    </xf>
    <xf numFmtId="0" fontId="18" fillId="0" borderId="133" xfId="0" applyFont="1" applyBorder="1" applyAlignment="1">
      <alignment horizontal="center" wrapText="1"/>
    </xf>
    <xf numFmtId="0" fontId="18" fillId="0" borderId="66" xfId="0" applyFont="1" applyBorder="1" applyAlignment="1">
      <alignment horizontal="center" wrapText="1"/>
    </xf>
    <xf numFmtId="0" fontId="18" fillId="0" borderId="67" xfId="0" applyFont="1" applyBorder="1" applyAlignment="1">
      <alignment horizontal="center" wrapText="1"/>
    </xf>
    <xf numFmtId="0" fontId="18" fillId="0" borderId="68" xfId="0" applyFont="1" applyBorder="1" applyAlignment="1">
      <alignment horizontal="center" wrapText="1"/>
    </xf>
    <xf numFmtId="0" fontId="17" fillId="0" borderId="134" xfId="0" applyFont="1" applyBorder="1" applyAlignment="1">
      <alignment horizontal="center"/>
    </xf>
    <xf numFmtId="0" fontId="17" fillId="0" borderId="47" xfId="0" applyFont="1" applyBorder="1" applyAlignment="1">
      <alignment horizontal="center"/>
    </xf>
    <xf numFmtId="0" fontId="17" fillId="0" borderId="121" xfId="0" applyFont="1" applyBorder="1" applyAlignment="1">
      <alignment horizontal="center"/>
    </xf>
    <xf numFmtId="0" fontId="18" fillId="0" borderId="66" xfId="0" applyFont="1" applyBorder="1" applyAlignment="1">
      <alignment horizontal="center"/>
    </xf>
    <xf numFmtId="0" fontId="18" fillId="0" borderId="67" xfId="0" applyFont="1" applyBorder="1" applyAlignment="1">
      <alignment horizontal="center"/>
    </xf>
    <xf numFmtId="0" fontId="18" fillId="0" borderId="68" xfId="0" applyFont="1" applyBorder="1" applyAlignment="1">
      <alignment horizontal="center"/>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167" fontId="98" fillId="21" borderId="6" xfId="25" applyNumberFormat="1" applyFont="1" applyFill="1" applyAlignment="1">
      <alignment horizontal="left"/>
    </xf>
    <xf numFmtId="0" fontId="28" fillId="32" borderId="0" xfId="38" applyFill="1" applyAlignment="1">
      <alignment horizontal="center"/>
    </xf>
    <xf numFmtId="0" fontId="134" fillId="0" borderId="3" xfId="0" applyFont="1" applyBorder="1" applyAlignment="1">
      <alignment horizontal="center" wrapText="1"/>
    </xf>
    <xf numFmtId="0" fontId="134" fillId="0" borderId="5" xfId="0" applyFont="1" applyBorder="1" applyAlignment="1">
      <alignment horizontal="center" wrapText="1"/>
    </xf>
    <xf numFmtId="0" fontId="28" fillId="32" borderId="0" xfId="17" applyFont="1" applyFill="1" applyAlignment="1">
      <alignment horizontal="left"/>
    </xf>
    <xf numFmtId="0" fontId="28" fillId="32" borderId="9" xfId="17" applyFont="1" applyFill="1" applyBorder="1" applyAlignment="1">
      <alignment horizontal="left"/>
    </xf>
    <xf numFmtId="0" fontId="35" fillId="33" borderId="0" xfId="20" applyFont="1" applyFill="1" applyAlignment="1">
      <alignment horizontal="left"/>
    </xf>
    <xf numFmtId="0" fontId="35" fillId="33" borderId="9" xfId="20" applyFont="1" applyFill="1" applyBorder="1" applyAlignment="1">
      <alignment horizontal="left"/>
    </xf>
    <xf numFmtId="0" fontId="35" fillId="32" borderId="0" xfId="17" applyFont="1" applyFill="1" applyAlignment="1">
      <alignment horizontal="left"/>
    </xf>
    <xf numFmtId="0" fontId="35" fillId="32" borderId="9" xfId="17" applyFont="1" applyFill="1" applyBorder="1" applyAlignment="1">
      <alignment horizontal="left"/>
    </xf>
    <xf numFmtId="9" fontId="29" fillId="31" borderId="76" xfId="28" applyNumberFormat="1" applyFill="1" applyBorder="1" applyAlignment="1">
      <alignment horizontal="center" wrapText="1"/>
    </xf>
    <xf numFmtId="0" fontId="20" fillId="0" borderId="0" xfId="19" applyFont="1" applyFill="1" applyBorder="1" applyAlignment="1">
      <alignment horizontal="center"/>
    </xf>
    <xf numFmtId="0" fontId="34" fillId="0" borderId="22" xfId="33" applyFill="1" applyBorder="1" applyAlignment="1">
      <alignment horizontal="center"/>
    </xf>
    <xf numFmtId="0" fontId="20" fillId="0" borderId="0" xfId="18" applyFont="1" applyFill="1" applyBorder="1" applyAlignment="1">
      <alignment horizontal="center"/>
    </xf>
    <xf numFmtId="167" fontId="52" fillId="19" borderId="54" xfId="24" applyNumberFormat="1" applyFont="1" applyFill="1" applyBorder="1" applyAlignment="1">
      <alignment horizontal="center" vertical="center"/>
    </xf>
    <xf numFmtId="1" fontId="28" fillId="32" borderId="0" xfId="38" applyNumberFormat="1" applyFill="1" applyAlignment="1">
      <alignment horizontal="center"/>
    </xf>
    <xf numFmtId="0" fontId="96" fillId="26" borderId="31" xfId="26" applyFont="1" applyFill="1" applyAlignment="1">
      <alignment horizontal="left" vertical="center"/>
    </xf>
    <xf numFmtId="167" fontId="52" fillId="19" borderId="54" xfId="24" applyNumberFormat="1" applyFont="1" applyFill="1" applyBorder="1" applyAlignment="1">
      <alignment horizontal="center"/>
    </xf>
    <xf numFmtId="0" fontId="98" fillId="26" borderId="6" xfId="25" applyFont="1" applyFill="1" applyAlignment="1">
      <alignment horizontal="left" wrapText="1"/>
    </xf>
    <xf numFmtId="0" fontId="91" fillId="0" borderId="0" xfId="0" applyFont="1" applyAlignment="1">
      <alignment horizontal="right" vertical="center"/>
    </xf>
    <xf numFmtId="41" fontId="30" fillId="15" borderId="53" xfId="29" applyNumberFormat="1" applyBorder="1" applyAlignment="1">
      <alignment horizontal="center"/>
    </xf>
    <xf numFmtId="41" fontId="30" fillId="15" borderId="71" xfId="29" applyNumberFormat="1" applyBorder="1" applyAlignment="1">
      <alignment horizontal="center"/>
    </xf>
    <xf numFmtId="0" fontId="28" fillId="33" borderId="32" xfId="27" applyFill="1" applyAlignment="1">
      <alignment horizontal="left"/>
    </xf>
    <xf numFmtId="41" fontId="30" fillId="15" borderId="64" xfId="29" applyNumberFormat="1" applyBorder="1" applyAlignment="1">
      <alignment horizontal="center"/>
    </xf>
    <xf numFmtId="0" fontId="50" fillId="0" borderId="7" xfId="0" applyFont="1" applyBorder="1" applyAlignment="1">
      <alignment horizontal="center"/>
    </xf>
    <xf numFmtId="0" fontId="18" fillId="0" borderId="84" xfId="0" applyFont="1" applyBorder="1" applyAlignment="1">
      <alignment horizontal="center"/>
    </xf>
    <xf numFmtId="0" fontId="18" fillId="0" borderId="0" xfId="0" applyFont="1" applyAlignment="1">
      <alignment horizontal="center"/>
    </xf>
    <xf numFmtId="0" fontId="96" fillId="26" borderId="181" xfId="26" applyFont="1" applyFill="1" applyBorder="1" applyAlignment="1">
      <alignment horizontal="left" vertical="center"/>
    </xf>
    <xf numFmtId="0" fontId="133" fillId="0" borderId="3" xfId="0" applyFont="1" applyBorder="1" applyAlignment="1">
      <alignment horizontal="center"/>
    </xf>
    <xf numFmtId="0" fontId="133" fillId="0" borderId="4" xfId="0" applyFont="1" applyBorder="1" applyAlignment="1">
      <alignment horizontal="center"/>
    </xf>
    <xf numFmtId="0" fontId="133" fillId="0" borderId="5" xfId="0" applyFont="1" applyBorder="1" applyAlignment="1">
      <alignment horizontal="center"/>
    </xf>
    <xf numFmtId="0" fontId="18" fillId="0" borderId="2" xfId="0" applyFont="1" applyBorder="1" applyAlignment="1">
      <alignment horizontal="center" wrapText="1"/>
    </xf>
    <xf numFmtId="0" fontId="18" fillId="0" borderId="52" xfId="0" applyFont="1" applyBorder="1" applyAlignment="1">
      <alignment horizontal="center" wrapText="1"/>
    </xf>
    <xf numFmtId="0" fontId="50" fillId="0" borderId="42" xfId="0" applyFont="1" applyBorder="1" applyAlignment="1">
      <alignment horizontal="center"/>
    </xf>
    <xf numFmtId="0" fontId="50" fillId="0" borderId="0" xfId="0" applyFont="1" applyAlignment="1">
      <alignment horizontal="center"/>
    </xf>
    <xf numFmtId="0" fontId="41" fillId="0" borderId="0" xfId="2" applyFont="1" applyAlignment="1">
      <alignment horizontal="center" wrapText="1"/>
    </xf>
    <xf numFmtId="0" fontId="50" fillId="0" borderId="121" xfId="0" applyFont="1" applyBorder="1" applyAlignment="1">
      <alignment horizontal="center"/>
    </xf>
    <xf numFmtId="0" fontId="50" fillId="0" borderId="134" xfId="0" applyFont="1" applyBorder="1" applyAlignment="1">
      <alignment horizontal="center"/>
    </xf>
    <xf numFmtId="0" fontId="18" fillId="0" borderId="2" xfId="0" applyFont="1" applyBorder="1" applyAlignment="1">
      <alignment horizontal="center"/>
    </xf>
    <xf numFmtId="0" fontId="133" fillId="0" borderId="2" xfId="0" applyFont="1" applyBorder="1" applyAlignment="1">
      <alignment horizontal="left"/>
    </xf>
    <xf numFmtId="0" fontId="41" fillId="0" borderId="3" xfId="2" applyFont="1" applyBorder="1" applyAlignment="1">
      <alignment horizontal="center" wrapText="1"/>
    </xf>
    <xf numFmtId="0" fontId="41" fillId="0" borderId="4" xfId="2" applyFont="1" applyBorder="1" applyAlignment="1">
      <alignment horizontal="center" wrapText="1"/>
    </xf>
    <xf numFmtId="0" fontId="41" fillId="0" borderId="5" xfId="2" applyFont="1" applyBorder="1" applyAlignment="1">
      <alignment horizontal="center" wrapText="1"/>
    </xf>
    <xf numFmtId="0" fontId="72" fillId="20" borderId="76" xfId="36" applyFont="1" applyFill="1" applyBorder="1" applyAlignment="1">
      <alignment horizontal="center" wrapText="1"/>
    </xf>
    <xf numFmtId="0" fontId="98" fillId="26" borderId="6" xfId="25" applyFont="1" applyFill="1" applyAlignment="1">
      <alignment horizontal="left"/>
    </xf>
    <xf numFmtId="0" fontId="98" fillId="26" borderId="183" xfId="25" applyFont="1" applyFill="1" applyBorder="1" applyAlignment="1">
      <alignment horizontal="left"/>
    </xf>
    <xf numFmtId="0" fontId="20" fillId="0" borderId="40" xfId="18" applyFont="1" applyFill="1" applyBorder="1" applyAlignment="1">
      <alignment horizontal="center"/>
    </xf>
    <xf numFmtId="0" fontId="133" fillId="0" borderId="3" xfId="0" applyFont="1" applyBorder="1" applyAlignment="1">
      <alignment horizontal="left" wrapText="1"/>
    </xf>
    <xf numFmtId="0" fontId="133" fillId="0" borderId="5" xfId="0" applyFont="1" applyBorder="1" applyAlignment="1">
      <alignment horizontal="left" wrapText="1"/>
    </xf>
    <xf numFmtId="0" fontId="0" fillId="0" borderId="0" xfId="0"/>
    <xf numFmtId="0" fontId="92" fillId="0" borderId="42" xfId="32" applyFont="1" applyBorder="1" applyAlignment="1">
      <alignment horizontal="center" vertical="center" wrapText="1"/>
    </xf>
    <xf numFmtId="0" fontId="92" fillId="0" borderId="0" xfId="32" applyFont="1" applyBorder="1" applyAlignment="1">
      <alignment horizontal="center" vertical="center" wrapText="1"/>
    </xf>
    <xf numFmtId="0" fontId="41" fillId="0" borderId="66" xfId="2" applyFont="1" applyBorder="1" applyAlignment="1">
      <alignment horizontal="center" wrapText="1"/>
    </xf>
    <xf numFmtId="0" fontId="41" fillId="0" borderId="67" xfId="2" applyFont="1" applyBorder="1" applyAlignment="1">
      <alignment horizontal="center" wrapText="1"/>
    </xf>
    <xf numFmtId="0" fontId="41" fillId="0" borderId="68" xfId="2" applyFont="1" applyBorder="1" applyAlignment="1">
      <alignment horizontal="center" wrapText="1"/>
    </xf>
    <xf numFmtId="0" fontId="41" fillId="0" borderId="18" xfId="2" applyFont="1" applyBorder="1" applyAlignment="1">
      <alignment horizontal="center" wrapText="1"/>
    </xf>
    <xf numFmtId="0" fontId="41" fillId="0" borderId="10" xfId="2" applyFont="1" applyBorder="1" applyAlignment="1">
      <alignment horizontal="center" wrapText="1"/>
    </xf>
    <xf numFmtId="0" fontId="96" fillId="26" borderId="31" xfId="26" applyFont="1" applyFill="1" applyAlignment="1"/>
    <xf numFmtId="0" fontId="28" fillId="33" borderId="148" xfId="27" applyFill="1" applyBorder="1" applyAlignment="1">
      <alignment horizontal="left"/>
    </xf>
    <xf numFmtId="0" fontId="100" fillId="32" borderId="32" xfId="27" applyFont="1" applyFill="1" applyAlignment="1">
      <alignment horizontal="left" wrapText="1"/>
    </xf>
    <xf numFmtId="0" fontId="16" fillId="28" borderId="77" xfId="35" applyFont="1" applyFill="1" applyBorder="1" applyAlignment="1">
      <alignment horizontal="left" wrapText="1"/>
    </xf>
    <xf numFmtId="0" fontId="50" fillId="0" borderId="0" xfId="0" applyFont="1" applyAlignment="1">
      <alignment horizontal="left"/>
    </xf>
    <xf numFmtId="0" fontId="47" fillId="0" borderId="0" xfId="0" applyFont="1" applyAlignment="1">
      <alignment horizontal="left" wrapText="1"/>
    </xf>
    <xf numFmtId="0" fontId="48" fillId="0" borderId="0" xfId="0" applyFont="1" applyAlignment="1">
      <alignment horizontal="left" wrapText="1"/>
    </xf>
    <xf numFmtId="167" fontId="30" fillId="15" borderId="53" xfId="29" applyNumberFormat="1" applyBorder="1" applyAlignment="1">
      <alignment horizontal="center" vertical="center"/>
    </xf>
    <xf numFmtId="167" fontId="30" fillId="15" borderId="71" xfId="29" applyNumberFormat="1" applyBorder="1" applyAlignment="1">
      <alignment horizontal="center" vertical="center"/>
    </xf>
    <xf numFmtId="167" fontId="30" fillId="15" borderId="60" xfId="29" applyNumberFormat="1" applyBorder="1" applyAlignment="1">
      <alignment horizontal="center" vertical="center"/>
    </xf>
    <xf numFmtId="0" fontId="18" fillId="0" borderId="2" xfId="0" applyFont="1" applyBorder="1" applyAlignment="1">
      <alignment horizontal="left" vertical="center"/>
    </xf>
    <xf numFmtId="0" fontId="18" fillId="0" borderId="25" xfId="0" applyFont="1" applyBorder="1" applyAlignment="1">
      <alignment horizontal="left" vertical="center"/>
    </xf>
    <xf numFmtId="0" fontId="35" fillId="20" borderId="76" xfId="36" applyFont="1" applyFill="1" applyBorder="1" applyAlignment="1">
      <alignment horizontal="left" wrapText="1"/>
    </xf>
    <xf numFmtId="9" fontId="33" fillId="20" borderId="79" xfId="32" applyNumberFormat="1" applyFill="1" applyBorder="1" applyAlignment="1">
      <alignment horizontal="center" wrapText="1"/>
    </xf>
    <xf numFmtId="44" fontId="100" fillId="33" borderId="0" xfId="34" applyNumberFormat="1" applyFont="1" applyFill="1" applyAlignment="1">
      <alignment horizontal="left"/>
    </xf>
    <xf numFmtId="0" fontId="44" fillId="0" borderId="2" xfId="0" applyFont="1" applyBorder="1" applyAlignment="1">
      <alignment horizontal="left" wrapText="1"/>
    </xf>
    <xf numFmtId="0" fontId="18" fillId="0" borderId="63" xfId="0" applyFont="1" applyBorder="1" applyAlignment="1">
      <alignment horizontal="center" wrapText="1"/>
    </xf>
    <xf numFmtId="0" fontId="32" fillId="0" borderId="35" xfId="31" applyAlignment="1">
      <alignment horizontal="left"/>
    </xf>
    <xf numFmtId="0" fontId="97" fillId="26" borderId="31" xfId="33" applyFont="1" applyFill="1" applyBorder="1" applyAlignment="1">
      <alignment horizontal="center" vertical="center"/>
    </xf>
    <xf numFmtId="0" fontId="97" fillId="26" borderId="181" xfId="33" applyFont="1" applyFill="1" applyBorder="1" applyAlignment="1">
      <alignment horizontal="center" vertical="center"/>
    </xf>
    <xf numFmtId="0" fontId="92" fillId="0" borderId="42" xfId="32" applyFont="1" applyFill="1" applyBorder="1" applyAlignment="1">
      <alignment horizontal="center" vertical="center" wrapText="1"/>
    </xf>
    <xf numFmtId="0" fontId="92" fillId="0" borderId="0" xfId="32" applyFont="1" applyFill="1" applyBorder="1" applyAlignment="1">
      <alignment horizontal="center" vertical="center" wrapText="1"/>
    </xf>
    <xf numFmtId="0" fontId="73" fillId="7" borderId="41" xfId="32" applyFont="1" applyFill="1" applyBorder="1" applyAlignment="1">
      <alignment horizontal="center" vertical="center" wrapText="1"/>
    </xf>
    <xf numFmtId="0" fontId="73" fillId="7" borderId="42" xfId="32" applyFont="1" applyFill="1" applyBorder="1" applyAlignment="1">
      <alignment horizontal="center" vertical="center" wrapText="1"/>
    </xf>
    <xf numFmtId="0" fontId="73" fillId="7" borderId="18" xfId="32" applyFont="1" applyFill="1" applyBorder="1" applyAlignment="1">
      <alignment horizontal="center" vertical="center" wrapText="1"/>
    </xf>
    <xf numFmtId="0" fontId="73" fillId="7" borderId="0" xfId="32" applyFont="1" applyFill="1" applyBorder="1" applyAlignment="1">
      <alignment horizontal="center" vertical="center" wrapText="1"/>
    </xf>
    <xf numFmtId="0" fontId="73" fillId="0" borderId="42" xfId="32" applyFont="1" applyBorder="1" applyAlignment="1">
      <alignment horizontal="center" vertical="center" wrapText="1"/>
    </xf>
    <xf numFmtId="0" fontId="73" fillId="0" borderId="0" xfId="32" applyFont="1" applyAlignment="1">
      <alignment horizontal="center" vertical="center" wrapText="1"/>
    </xf>
    <xf numFmtId="0" fontId="28" fillId="20" borderId="0" xfId="38" applyFill="1" applyAlignment="1">
      <alignment horizontal="left"/>
    </xf>
    <xf numFmtId="0" fontId="28" fillId="32" borderId="0" xfId="38" applyFill="1" applyBorder="1" applyAlignment="1">
      <alignment horizontal="center"/>
    </xf>
    <xf numFmtId="0" fontId="108" fillId="0" borderId="0" xfId="0" applyFont="1" applyAlignment="1">
      <alignment horizontal="center"/>
    </xf>
    <xf numFmtId="0" fontId="5" fillId="0" borderId="2" xfId="0" applyFont="1" applyBorder="1"/>
    <xf numFmtId="0" fontId="5" fillId="0" borderId="2" xfId="0" applyFont="1" applyBorder="1" applyAlignment="1">
      <alignment wrapText="1"/>
    </xf>
    <xf numFmtId="0" fontId="88" fillId="0" borderId="0" xfId="0" applyFont="1" applyAlignment="1">
      <alignment horizontal="left"/>
    </xf>
    <xf numFmtId="0" fontId="89" fillId="31" borderId="7" xfId="28" applyFont="1" applyFill="1" applyBorder="1" applyAlignment="1">
      <alignment horizontal="center"/>
    </xf>
    <xf numFmtId="0" fontId="89" fillId="31" borderId="4" xfId="28" applyFont="1" applyFill="1" applyBorder="1" applyAlignment="1">
      <alignment horizontal="center"/>
    </xf>
    <xf numFmtId="41" fontId="30" fillId="28" borderId="65" xfId="29" applyNumberFormat="1" applyFill="1" applyBorder="1" applyAlignment="1">
      <alignment horizontal="center" vertical="center"/>
    </xf>
    <xf numFmtId="41" fontId="30" fillId="28" borderId="54" xfId="29" applyNumberFormat="1" applyFill="1" applyBorder="1" applyAlignment="1">
      <alignment horizontal="center" vertical="center"/>
    </xf>
    <xf numFmtId="41" fontId="30" fillId="28" borderId="60" xfId="29" applyNumberFormat="1" applyFill="1" applyBorder="1" applyAlignment="1">
      <alignment horizontal="center" vertical="center"/>
    </xf>
    <xf numFmtId="41" fontId="30" fillId="28" borderId="56" xfId="29" applyNumberFormat="1" applyFill="1" applyBorder="1" applyAlignment="1">
      <alignment horizontal="center" vertical="center"/>
    </xf>
    <xf numFmtId="0" fontId="139" fillId="0" borderId="3" xfId="0" applyFont="1" applyBorder="1" applyAlignment="1">
      <alignment horizontal="center"/>
    </xf>
    <xf numFmtId="0" fontId="139" fillId="0" borderId="4" xfId="0" applyFont="1" applyBorder="1" applyAlignment="1">
      <alignment horizontal="center"/>
    </xf>
    <xf numFmtId="0" fontId="139" fillId="0" borderId="5"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5" xfId="0" applyFont="1" applyBorder="1" applyAlignment="1">
      <alignment horizontal="center"/>
    </xf>
    <xf numFmtId="0" fontId="28" fillId="33" borderId="0" xfId="20" applyFont="1" applyFill="1" applyAlignment="1">
      <alignment horizontal="left"/>
    </xf>
    <xf numFmtId="0" fontId="28" fillId="33" borderId="9" xfId="20" applyFont="1" applyFill="1" applyBorder="1" applyAlignment="1">
      <alignment horizontal="left"/>
    </xf>
    <xf numFmtId="0" fontId="92" fillId="0" borderId="84" xfId="32" applyFont="1" applyBorder="1" applyAlignment="1">
      <alignment horizontal="center" vertical="center" wrapText="1"/>
    </xf>
    <xf numFmtId="0" fontId="96" fillId="21" borderId="31" xfId="26" applyFont="1" applyFill="1" applyAlignment="1">
      <alignment horizontal="center"/>
    </xf>
    <xf numFmtId="0" fontId="17" fillId="33" borderId="76" xfId="0" applyFont="1" applyFill="1" applyBorder="1" applyAlignment="1">
      <alignment horizontal="center" wrapText="1"/>
    </xf>
    <xf numFmtId="44" fontId="18" fillId="28" borderId="56" xfId="24" applyFont="1" applyFill="1" applyBorder="1" applyAlignment="1">
      <alignment horizontal="center" vertical="center"/>
    </xf>
    <xf numFmtId="44" fontId="18" fillId="28" borderId="54" xfId="24" applyFont="1" applyFill="1" applyBorder="1" applyAlignment="1">
      <alignment horizontal="center" vertical="center"/>
    </xf>
    <xf numFmtId="44" fontId="18" fillId="28" borderId="9" xfId="24" applyFont="1" applyFill="1" applyBorder="1" applyAlignment="1">
      <alignment horizontal="center" vertical="center"/>
    </xf>
    <xf numFmtId="44" fontId="18" fillId="28" borderId="157" xfId="24" applyFont="1" applyFill="1" applyBorder="1" applyAlignment="1">
      <alignment horizontal="center" vertical="center"/>
    </xf>
    <xf numFmtId="0" fontId="28" fillId="33" borderId="0" xfId="17" applyFont="1" applyFill="1" applyBorder="1" applyAlignment="1">
      <alignment horizontal="left"/>
    </xf>
    <xf numFmtId="0" fontId="28" fillId="33" borderId="9" xfId="17" applyFont="1" applyFill="1" applyBorder="1" applyAlignment="1">
      <alignment horizontal="left"/>
    </xf>
    <xf numFmtId="167" fontId="28" fillId="33" borderId="0" xfId="20" applyNumberFormat="1" applyFont="1" applyFill="1" applyAlignment="1">
      <alignment horizontal="left"/>
    </xf>
    <xf numFmtId="167" fontId="28" fillId="33" borderId="9" xfId="20" applyNumberFormat="1" applyFont="1" applyFill="1" applyBorder="1" applyAlignment="1">
      <alignment horizontal="left"/>
    </xf>
    <xf numFmtId="0" fontId="100" fillId="32" borderId="0" xfId="17" applyFont="1" applyFill="1" applyBorder="1" applyAlignment="1">
      <alignment horizontal="left" wrapText="1"/>
    </xf>
    <xf numFmtId="0" fontId="100" fillId="32" borderId="9" xfId="17" applyFont="1" applyFill="1" applyBorder="1" applyAlignment="1">
      <alignment horizontal="left" wrapText="1"/>
    </xf>
    <xf numFmtId="0" fontId="100" fillId="33" borderId="0" xfId="20" applyFont="1" applyFill="1" applyAlignment="1">
      <alignment horizontal="left"/>
    </xf>
    <xf numFmtId="0" fontId="100" fillId="33" borderId="9" xfId="20" applyFont="1" applyFill="1" applyBorder="1" applyAlignment="1">
      <alignment horizontal="left"/>
    </xf>
    <xf numFmtId="0" fontId="44" fillId="0" borderId="3" xfId="0" applyFont="1" applyBorder="1" applyAlignment="1">
      <alignment horizontal="center" wrapText="1"/>
    </xf>
    <xf numFmtId="0" fontId="44" fillId="0" borderId="4" xfId="0" applyFont="1" applyBorder="1" applyAlignment="1">
      <alignment horizontal="center" wrapText="1"/>
    </xf>
    <xf numFmtId="0" fontId="44" fillId="0" borderId="5" xfId="0" applyFont="1" applyBorder="1" applyAlignment="1">
      <alignment horizontal="center" wrapText="1"/>
    </xf>
    <xf numFmtId="0" fontId="18" fillId="0" borderId="132" xfId="0" applyFont="1" applyBorder="1" applyAlignment="1">
      <alignment horizontal="center"/>
    </xf>
    <xf numFmtId="0" fontId="18" fillId="0" borderId="27" xfId="0" applyFont="1" applyBorder="1" applyAlignment="1">
      <alignment horizontal="center"/>
    </xf>
    <xf numFmtId="0" fontId="18" fillId="0" borderId="133" xfId="0" applyFont="1" applyBorder="1" applyAlignment="1">
      <alignment horizontal="center"/>
    </xf>
    <xf numFmtId="0" fontId="92" fillId="7" borderId="42" xfId="32" applyFont="1" applyFill="1" applyBorder="1" applyAlignment="1">
      <alignment vertical="center" wrapText="1"/>
    </xf>
    <xf numFmtId="0" fontId="92" fillId="7" borderId="0" xfId="32" applyFont="1" applyFill="1" applyBorder="1" applyAlignment="1">
      <alignment vertical="center" wrapText="1"/>
    </xf>
    <xf numFmtId="0" fontId="92" fillId="0" borderId="42" xfId="32" applyFont="1" applyBorder="1" applyAlignment="1">
      <alignment vertical="center" wrapText="1"/>
    </xf>
    <xf numFmtId="0" fontId="92" fillId="0" borderId="0" xfId="32" applyFont="1" applyBorder="1" applyAlignment="1">
      <alignment vertical="center" wrapText="1"/>
    </xf>
    <xf numFmtId="0" fontId="6" fillId="9" borderId="200" xfId="0" applyFont="1" applyFill="1" applyBorder="1" applyAlignment="1">
      <alignment wrapText="1"/>
    </xf>
    <xf numFmtId="0" fontId="6" fillId="9" borderId="30" xfId="0" applyFont="1" applyFill="1" applyBorder="1" applyAlignment="1">
      <alignment wrapText="1"/>
    </xf>
    <xf numFmtId="0" fontId="45" fillId="9" borderId="76" xfId="33" applyFont="1" applyFill="1" applyBorder="1" applyAlignment="1">
      <alignment wrapText="1"/>
    </xf>
    <xf numFmtId="10" fontId="41" fillId="0" borderId="22" xfId="1" applyNumberFormat="1" applyFont="1" applyFill="1" applyBorder="1" applyAlignment="1">
      <alignment horizontal="center"/>
    </xf>
    <xf numFmtId="0" fontId="5" fillId="0" borderId="16" xfId="0" applyFont="1" applyBorder="1" applyAlignment="1">
      <alignment horizontal="center" vertical="center"/>
    </xf>
    <xf numFmtId="0" fontId="5" fillId="0" borderId="109" xfId="0" applyFont="1" applyBorder="1" applyAlignment="1">
      <alignment horizontal="center" vertical="center"/>
    </xf>
    <xf numFmtId="0" fontId="5" fillId="0" borderId="18" xfId="0" applyFont="1" applyBorder="1" applyAlignment="1">
      <alignment horizontal="center" vertical="center"/>
    </xf>
    <xf numFmtId="0" fontId="5" fillId="0" borderId="10" xfId="0" applyFont="1" applyBorder="1" applyAlignment="1">
      <alignment horizontal="center" vertical="center"/>
    </xf>
    <xf numFmtId="0" fontId="5" fillId="0" borderId="122" xfId="0" applyFont="1" applyBorder="1" applyAlignment="1">
      <alignment horizontal="center" vertical="center"/>
    </xf>
    <xf numFmtId="0" fontId="5" fillId="0" borderId="123" xfId="0" applyFont="1" applyBorder="1" applyAlignment="1">
      <alignment horizontal="center" vertical="center"/>
    </xf>
    <xf numFmtId="167" fontId="78" fillId="20" borderId="154" xfId="29" applyNumberFormat="1" applyFont="1" applyFill="1" applyBorder="1" applyAlignment="1" applyProtection="1">
      <alignment horizontal="center" vertical="center"/>
    </xf>
    <xf numFmtId="167" fontId="78" fillId="20" borderId="155" xfId="29" applyNumberFormat="1" applyFont="1" applyFill="1" applyBorder="1" applyAlignment="1" applyProtection="1">
      <alignment horizontal="center" vertical="center"/>
    </xf>
    <xf numFmtId="167" fontId="78" fillId="20" borderId="43" xfId="29" applyNumberFormat="1" applyFont="1" applyFill="1" applyBorder="1" applyAlignment="1" applyProtection="1">
      <alignment horizontal="center" vertical="center"/>
    </xf>
    <xf numFmtId="9" fontId="1" fillId="11" borderId="104" xfId="36" applyNumberFormat="1" applyFill="1" applyBorder="1" applyAlignment="1" applyProtection="1">
      <alignment horizontal="center" vertical="center"/>
    </xf>
    <xf numFmtId="167" fontId="78" fillId="20" borderId="120" xfId="29" applyNumberFormat="1" applyFont="1" applyFill="1" applyBorder="1" applyAlignment="1" applyProtection="1">
      <alignment horizontal="center" vertical="center"/>
    </xf>
    <xf numFmtId="167" fontId="78" fillId="20" borderId="98" xfId="29" applyNumberFormat="1" applyFont="1" applyFill="1" applyBorder="1" applyAlignment="1" applyProtection="1">
      <alignment horizontal="center" vertical="center"/>
    </xf>
    <xf numFmtId="167" fontId="78" fillId="20" borderId="118" xfId="29" applyNumberFormat="1" applyFont="1" applyFill="1" applyBorder="1" applyAlignment="1" applyProtection="1">
      <alignment horizontal="center" vertical="center"/>
    </xf>
    <xf numFmtId="167" fontId="30" fillId="20" borderId="107" xfId="29" applyNumberFormat="1" applyFill="1" applyBorder="1" applyAlignment="1" applyProtection="1">
      <alignment horizontal="right" vertical="center"/>
    </xf>
    <xf numFmtId="167" fontId="1" fillId="11" borderId="98" xfId="36" applyNumberFormat="1" applyFill="1" applyBorder="1" applyAlignment="1" applyProtection="1">
      <alignment horizontal="right" vertical="center"/>
    </xf>
    <xf numFmtId="167" fontId="78" fillId="20" borderId="34" xfId="29" applyNumberFormat="1" applyFont="1" applyFill="1" applyAlignment="1" applyProtection="1">
      <alignment horizontal="right" vertical="center"/>
    </xf>
    <xf numFmtId="166" fontId="30" fillId="20" borderId="114" xfId="29" applyNumberFormat="1" applyFill="1" applyBorder="1" applyAlignment="1" applyProtection="1">
      <alignment horizontal="right" vertical="center"/>
    </xf>
    <xf numFmtId="167" fontId="78" fillId="20" borderId="44" xfId="29" applyNumberFormat="1" applyFont="1" applyFill="1" applyBorder="1" applyAlignment="1" applyProtection="1">
      <alignment horizontal="right" vertical="center"/>
    </xf>
    <xf numFmtId="0" fontId="40" fillId="0" borderId="4" xfId="0" applyFont="1" applyBorder="1" applyAlignment="1">
      <alignment horizontal="center" vertical="center" wrapText="1"/>
    </xf>
    <xf numFmtId="166" fontId="76" fillId="11" borderId="93" xfId="29" applyNumberFormat="1" applyFont="1" applyFill="1" applyBorder="1" applyAlignment="1" applyProtection="1">
      <alignment horizontal="right" vertical="center"/>
    </xf>
    <xf numFmtId="166" fontId="76" fillId="15" borderId="93" xfId="29" applyNumberFormat="1" applyFont="1" applyBorder="1" applyAlignment="1" applyProtection="1">
      <alignment horizontal="right" vertical="center"/>
    </xf>
    <xf numFmtId="166" fontId="76" fillId="15" borderId="100" xfId="29" applyNumberFormat="1" applyFont="1" applyBorder="1" applyAlignment="1" applyProtection="1">
      <alignment horizontal="center" vertical="center"/>
    </xf>
    <xf numFmtId="166" fontId="76" fillId="15" borderId="13" xfId="29" applyNumberFormat="1" applyFont="1" applyBorder="1" applyAlignment="1" applyProtection="1">
      <alignment horizontal="center" vertical="center"/>
    </xf>
    <xf numFmtId="166" fontId="76" fillId="15" borderId="101" xfId="29" applyNumberFormat="1" applyFont="1" applyBorder="1" applyAlignment="1" applyProtection="1">
      <alignment horizontal="center" vertical="center"/>
    </xf>
    <xf numFmtId="166" fontId="76" fillId="15" borderId="103" xfId="29" applyNumberFormat="1" applyFont="1" applyBorder="1" applyAlignment="1" applyProtection="1">
      <alignment horizontal="center" vertical="center"/>
    </xf>
    <xf numFmtId="166" fontId="76" fillId="15" borderId="104" xfId="29" applyNumberFormat="1" applyFont="1" applyBorder="1" applyAlignment="1" applyProtection="1">
      <alignment horizontal="center" vertical="center"/>
    </xf>
    <xf numFmtId="166" fontId="76" fillId="15" borderId="105" xfId="29" applyNumberFormat="1" applyFont="1" applyBorder="1" applyAlignment="1" applyProtection="1">
      <alignment horizontal="center" vertical="center"/>
    </xf>
    <xf numFmtId="166" fontId="30" fillId="20" borderId="34" xfId="29" applyNumberFormat="1" applyFill="1" applyAlignment="1" applyProtection="1">
      <alignment horizontal="right" vertical="center"/>
    </xf>
    <xf numFmtId="166" fontId="30" fillId="20" borderId="49" xfId="29" applyNumberFormat="1" applyFill="1" applyBorder="1" applyAlignment="1" applyProtection="1">
      <alignment horizontal="right" vertical="center"/>
    </xf>
    <xf numFmtId="166" fontId="76" fillId="15" borderId="94" xfId="29" applyNumberFormat="1" applyFont="1" applyBorder="1" applyAlignment="1" applyProtection="1">
      <alignment horizontal="center" vertical="center"/>
    </xf>
    <xf numFmtId="166" fontId="76" fillId="15" borderId="14" xfId="29" applyNumberFormat="1" applyFont="1" applyBorder="1" applyAlignment="1" applyProtection="1">
      <alignment horizontal="center" vertical="center"/>
    </xf>
    <xf numFmtId="166" fontId="76" fillId="15" borderId="87" xfId="29" applyNumberFormat="1" applyFont="1" applyBorder="1" applyAlignment="1" applyProtection="1">
      <alignment horizontal="center" vertical="center"/>
    </xf>
    <xf numFmtId="166" fontId="76" fillId="15" borderId="44" xfId="29" applyNumberFormat="1" applyFont="1" applyBorder="1" applyAlignment="1" applyProtection="1">
      <alignment horizontal="right" vertical="center"/>
    </xf>
    <xf numFmtId="166" fontId="30" fillId="20" borderId="90" xfId="29" applyNumberFormat="1" applyFill="1" applyBorder="1" applyAlignment="1" applyProtection="1">
      <alignment horizontal="right" vertical="center"/>
    </xf>
    <xf numFmtId="166" fontId="76" fillId="15" borderId="91" xfId="29" applyNumberFormat="1" applyFont="1" applyBorder="1" applyAlignment="1" applyProtection="1">
      <alignment horizontal="center" vertical="center"/>
    </xf>
    <xf numFmtId="166" fontId="76" fillId="15" borderId="92" xfId="29" applyNumberFormat="1" applyFont="1" applyBorder="1" applyAlignment="1" applyProtection="1">
      <alignment horizontal="center" vertical="center"/>
    </xf>
    <xf numFmtId="166" fontId="76" fillId="15" borderId="45" xfId="29" applyNumberFormat="1" applyFont="1" applyBorder="1" applyAlignment="1" applyProtection="1">
      <alignment horizontal="center" vertical="center"/>
    </xf>
    <xf numFmtId="167" fontId="1" fillId="11" borderId="7" xfId="36" applyNumberFormat="1" applyFill="1" applyBorder="1" applyAlignment="1" applyProtection="1">
      <alignment horizontal="right" vertical="center"/>
    </xf>
    <xf numFmtId="167" fontId="78" fillId="20" borderId="34" xfId="29" applyNumberFormat="1" applyFont="1" applyFill="1" applyAlignment="1">
      <alignment horizontal="center" vertical="center"/>
    </xf>
    <xf numFmtId="0" fontId="78" fillId="20" borderId="34" xfId="29" applyFont="1" applyFill="1" applyAlignment="1">
      <alignment horizontal="center" vertical="center"/>
    </xf>
    <xf numFmtId="0" fontId="77" fillId="0" borderId="3" xfId="0" applyFont="1" applyBorder="1" applyAlignment="1">
      <alignment horizontal="left" vertical="center" wrapText="1"/>
    </xf>
    <xf numFmtId="0" fontId="77" fillId="0" borderId="4" xfId="0" applyFont="1" applyBorder="1" applyAlignment="1">
      <alignment horizontal="left" vertical="center" wrapText="1"/>
    </xf>
    <xf numFmtId="0" fontId="77" fillId="0" borderId="5" xfId="0" applyFont="1" applyBorder="1" applyAlignment="1">
      <alignment horizontal="left" vertical="center" wrapText="1"/>
    </xf>
    <xf numFmtId="0" fontId="74" fillId="0" borderId="4" xfId="0" applyFont="1" applyBorder="1" applyAlignment="1">
      <alignment horizontal="right" vertical="center" wrapText="1"/>
    </xf>
    <xf numFmtId="0" fontId="40" fillId="0" borderId="88" xfId="0" applyFont="1" applyBorder="1" applyAlignment="1">
      <alignment horizontal="left" vertical="center" wrapText="1"/>
    </xf>
    <xf numFmtId="0" fontId="40" fillId="0" borderId="89" xfId="0" applyFont="1" applyBorder="1" applyAlignment="1">
      <alignment horizontal="left" vertical="center" wrapText="1"/>
    </xf>
    <xf numFmtId="0" fontId="75" fillId="0" borderId="14" xfId="0" applyFont="1" applyBorder="1" applyAlignment="1">
      <alignment horizontal="right" vertical="center" wrapText="1"/>
    </xf>
    <xf numFmtId="166" fontId="76" fillId="15" borderId="107" xfId="29" applyNumberFormat="1" applyFont="1" applyBorder="1" applyAlignment="1" applyProtection="1">
      <alignment horizontal="right" vertical="center"/>
    </xf>
    <xf numFmtId="0" fontId="75" fillId="0" borderId="116" xfId="0" applyFont="1" applyBorder="1" applyAlignment="1">
      <alignment horizontal="right" vertical="center" wrapText="1"/>
    </xf>
    <xf numFmtId="0" fontId="75" fillId="0" borderId="15" xfId="0" applyFont="1" applyBorder="1" applyAlignment="1">
      <alignment horizontal="right" vertical="center" wrapText="1"/>
    </xf>
    <xf numFmtId="0" fontId="75" fillId="0" borderId="17" xfId="0" applyFont="1" applyBorder="1" applyAlignment="1">
      <alignment horizontal="right" vertical="center" wrapText="1"/>
    </xf>
    <xf numFmtId="166" fontId="76" fillId="11" borderId="107" xfId="29" applyNumberFormat="1" applyFont="1" applyFill="1" applyBorder="1" applyAlignment="1" applyProtection="1">
      <alignment horizontal="right" vertical="center"/>
    </xf>
    <xf numFmtId="0" fontId="75" fillId="0" borderId="87" xfId="0" applyFont="1" applyBorder="1" applyAlignment="1">
      <alignment horizontal="right" vertical="center" wrapText="1"/>
    </xf>
    <xf numFmtId="167" fontId="30" fillId="20" borderId="99" xfId="29" applyNumberFormat="1" applyFill="1" applyBorder="1" applyAlignment="1">
      <alignment horizontal="center" vertical="center"/>
    </xf>
    <xf numFmtId="0" fontId="30" fillId="20" borderId="99" xfId="29" applyFill="1" applyBorder="1" applyAlignment="1">
      <alignment horizontal="center" vertical="center"/>
    </xf>
    <xf numFmtId="0" fontId="74" fillId="0" borderId="88" xfId="0" applyFont="1" applyBorder="1" applyAlignment="1">
      <alignment horizontal="right" vertical="center" wrapText="1"/>
    </xf>
    <xf numFmtId="0" fontId="80" fillId="0" borderId="136" xfId="0" applyFont="1" applyBorder="1" applyAlignment="1">
      <alignment horizontal="right" vertical="center" wrapText="1"/>
    </xf>
    <xf numFmtId="0" fontId="80" fillId="0" borderId="12" xfId="0" applyFont="1" applyBorder="1" applyAlignment="1">
      <alignment horizontal="right" vertical="center" wrapText="1"/>
    </xf>
    <xf numFmtId="0" fontId="80" fillId="0" borderId="137" xfId="0" applyFont="1" applyBorder="1" applyAlignment="1">
      <alignment horizontal="right" vertical="center" wrapText="1"/>
    </xf>
    <xf numFmtId="167" fontId="30" fillId="20" borderId="138" xfId="29" applyNumberFormat="1" applyFill="1" applyBorder="1" applyAlignment="1" applyProtection="1">
      <alignment horizontal="right" vertical="center"/>
    </xf>
    <xf numFmtId="167" fontId="30" fillId="20" borderId="99" xfId="29" applyNumberFormat="1" applyFill="1" applyBorder="1" applyAlignment="1" applyProtection="1">
      <alignment horizontal="right" vertical="center"/>
    </xf>
    <xf numFmtId="167" fontId="30" fillId="20" borderId="44" xfId="29" applyNumberFormat="1" applyFill="1" applyBorder="1" applyAlignment="1" applyProtection="1">
      <alignment horizontal="right" vertical="center"/>
    </xf>
    <xf numFmtId="9" fontId="1" fillId="11" borderId="104" xfId="36" applyNumberFormat="1" applyFill="1" applyBorder="1" applyAlignment="1">
      <alignment horizontal="center" vertical="center"/>
    </xf>
    <xf numFmtId="0" fontId="21" fillId="0" borderId="0" xfId="0" applyFont="1" applyAlignment="1">
      <alignment horizontal="center" vertical="center" wrapText="1"/>
    </xf>
    <xf numFmtId="167" fontId="78" fillId="20" borderId="34" xfId="29" applyNumberFormat="1" applyFont="1" applyFill="1" applyAlignment="1" applyProtection="1">
      <alignment horizontal="center" vertical="center"/>
    </xf>
    <xf numFmtId="167" fontId="78" fillId="20" borderId="117" xfId="29" applyNumberFormat="1" applyFont="1" applyFill="1" applyBorder="1" applyAlignment="1" applyProtection="1">
      <alignment horizontal="center" vertical="center"/>
    </xf>
    <xf numFmtId="0" fontId="0" fillId="0" borderId="0" xfId="0" applyAlignment="1">
      <alignment horizontal="center"/>
    </xf>
    <xf numFmtId="9" fontId="1" fillId="11" borderId="0" xfId="36" applyNumberFormat="1" applyFill="1" applyBorder="1" applyAlignment="1" applyProtection="1">
      <alignment horizontal="center" vertical="center"/>
    </xf>
    <xf numFmtId="0" fontId="77" fillId="0" borderId="19" xfId="0" applyFont="1" applyBorder="1" applyAlignment="1">
      <alignment horizontal="left" vertical="center" wrapText="1"/>
    </xf>
    <xf numFmtId="0" fontId="77" fillId="0" borderId="7" xfId="0" applyFont="1" applyBorder="1" applyAlignment="1">
      <alignment horizontal="left" vertical="center" wrapText="1"/>
    </xf>
    <xf numFmtId="0" fontId="77" fillId="0" borderId="115" xfId="0" applyFont="1" applyBorder="1" applyAlignment="1">
      <alignment horizontal="left" vertical="center" wrapText="1"/>
    </xf>
    <xf numFmtId="167" fontId="1" fillId="11" borderId="98" xfId="36" applyNumberFormat="1" applyFill="1" applyBorder="1" applyAlignment="1" applyProtection="1">
      <alignment horizontal="center" vertical="center"/>
    </xf>
    <xf numFmtId="0" fontId="40" fillId="0" borderId="14" xfId="0" applyFont="1" applyBorder="1" applyAlignment="1">
      <alignment horizontal="left" vertical="center" wrapText="1"/>
    </xf>
    <xf numFmtId="166" fontId="30" fillId="20" borderId="95" xfId="29" applyNumberFormat="1" applyFill="1" applyBorder="1" applyAlignment="1" applyProtection="1">
      <alignment horizontal="right" vertical="center"/>
    </xf>
    <xf numFmtId="0" fontId="40" fillId="0" borderId="13" xfId="0" applyFont="1" applyBorder="1" applyAlignment="1">
      <alignment horizontal="left" vertical="center" wrapText="1"/>
    </xf>
    <xf numFmtId="166" fontId="76" fillId="15" borderId="106" xfId="29" applyNumberFormat="1" applyFont="1" applyBorder="1" applyAlignment="1" applyProtection="1">
      <alignment horizontal="center" vertical="center"/>
    </xf>
    <xf numFmtId="166" fontId="76" fillId="15" borderId="0" xfId="29" applyNumberFormat="1" applyFont="1" applyBorder="1" applyAlignment="1" applyProtection="1">
      <alignment horizontal="center" vertical="center"/>
    </xf>
    <xf numFmtId="166" fontId="76" fillId="15" borderId="85" xfId="29" applyNumberFormat="1" applyFont="1" applyBorder="1" applyAlignment="1" applyProtection="1">
      <alignment horizontal="center" vertical="center"/>
    </xf>
    <xf numFmtId="0" fontId="40" fillId="0" borderId="12" xfId="0" applyFont="1" applyBorder="1" applyAlignment="1">
      <alignment horizontal="left" vertical="center" wrapText="1"/>
    </xf>
    <xf numFmtId="0" fontId="40" fillId="0" borderId="11" xfId="0" applyFont="1" applyBorder="1" applyAlignment="1">
      <alignment horizontal="left" vertical="center" wrapText="1"/>
    </xf>
    <xf numFmtId="166" fontId="30" fillId="20" borderId="151" xfId="29" applyNumberFormat="1" applyFill="1" applyBorder="1" applyAlignment="1" applyProtection="1">
      <alignment horizontal="right" vertical="center"/>
    </xf>
    <xf numFmtId="166" fontId="30" fillId="20" borderId="152" xfId="29" applyNumberFormat="1" applyFill="1" applyBorder="1" applyAlignment="1" applyProtection="1">
      <alignment horizontal="right" vertical="center"/>
    </xf>
    <xf numFmtId="166" fontId="30" fillId="20" borderId="153" xfId="29" applyNumberFormat="1" applyFill="1" applyBorder="1" applyAlignment="1" applyProtection="1">
      <alignment horizontal="right" vertical="center"/>
    </xf>
    <xf numFmtId="0" fontId="66" fillId="0" borderId="0" xfId="0" applyFont="1" applyAlignment="1">
      <alignment horizontal="center"/>
    </xf>
    <xf numFmtId="0" fontId="53" fillId="0" borderId="0" xfId="0" applyFont="1" applyAlignment="1">
      <alignment horizontal="center"/>
    </xf>
    <xf numFmtId="0" fontId="79" fillId="0" borderId="0" xfId="0" applyFont="1" applyAlignment="1">
      <alignment horizontal="center"/>
    </xf>
    <xf numFmtId="0" fontId="40" fillId="0" borderId="2" xfId="0" applyFont="1" applyBorder="1" applyAlignment="1">
      <alignment horizontal="center" vertical="center"/>
    </xf>
    <xf numFmtId="0" fontId="40" fillId="0" borderId="16" xfId="0" applyFont="1" applyBorder="1" applyAlignment="1">
      <alignment horizontal="center" vertical="center"/>
    </xf>
    <xf numFmtId="0" fontId="40" fillId="0" borderId="11" xfId="0" applyFont="1" applyBorder="1" applyAlignment="1">
      <alignment horizontal="center" vertical="center"/>
    </xf>
    <xf numFmtId="0" fontId="40" fillId="0" borderId="109" xfId="0" applyFont="1" applyBorder="1" applyAlignment="1">
      <alignment horizontal="center" vertical="center"/>
    </xf>
    <xf numFmtId="0" fontId="40" fillId="0" borderId="19" xfId="0" applyFont="1" applyBorder="1" applyAlignment="1">
      <alignment horizontal="center" vertical="center"/>
    </xf>
    <xf numFmtId="0" fontId="40" fillId="0" borderId="7" xfId="0" applyFont="1" applyBorder="1" applyAlignment="1">
      <alignment horizontal="center" vertical="center"/>
    </xf>
    <xf numFmtId="0" fontId="40" fillId="0" borderId="20" xfId="0" applyFont="1" applyBorder="1" applyAlignment="1">
      <alignment horizontal="center" vertical="center"/>
    </xf>
    <xf numFmtId="0" fontId="75" fillId="0" borderId="102" xfId="0" applyFont="1" applyBorder="1" applyAlignment="1">
      <alignment horizontal="right" vertical="center" wrapText="1"/>
    </xf>
    <xf numFmtId="166" fontId="76" fillId="15" borderId="17" xfId="29" applyNumberFormat="1" applyFont="1" applyBorder="1" applyAlignment="1" applyProtection="1">
      <alignment horizontal="center" vertical="center"/>
    </xf>
    <xf numFmtId="166" fontId="76" fillId="15" borderId="102" xfId="29" applyNumberFormat="1" applyFont="1" applyBorder="1" applyAlignment="1" applyProtection="1">
      <alignment horizontal="center" vertical="center"/>
    </xf>
    <xf numFmtId="166" fontId="76" fillId="15" borderId="96" xfId="29" applyNumberFormat="1" applyFont="1" applyBorder="1" applyAlignment="1" applyProtection="1">
      <alignment horizontal="right" vertical="center"/>
    </xf>
    <xf numFmtId="166" fontId="76" fillId="15" borderId="97" xfId="29" applyNumberFormat="1" applyFont="1" applyBorder="1" applyAlignment="1" applyProtection="1">
      <alignment horizontal="right" vertical="center"/>
    </xf>
    <xf numFmtId="0" fontId="75" fillId="0" borderId="12" xfId="0" applyFont="1" applyBorder="1" applyAlignment="1">
      <alignment horizontal="right" vertical="center" wrapText="1"/>
    </xf>
    <xf numFmtId="0" fontId="75" fillId="0" borderId="86" xfId="0" applyFont="1" applyBorder="1" applyAlignment="1">
      <alignment horizontal="right" vertical="center" wrapText="1"/>
    </xf>
    <xf numFmtId="167" fontId="78" fillId="20" borderId="156" xfId="29" applyNumberFormat="1" applyFont="1" applyFill="1" applyBorder="1" applyAlignment="1" applyProtection="1">
      <alignment horizontal="center" vertical="center"/>
    </xf>
    <xf numFmtId="166" fontId="76" fillId="15" borderId="167" xfId="29" applyNumberFormat="1" applyFont="1" applyBorder="1" applyAlignment="1" applyProtection="1">
      <alignment horizontal="center" vertical="center"/>
    </xf>
    <xf numFmtId="0" fontId="83" fillId="24" borderId="0" xfId="0" applyFont="1" applyFill="1" applyAlignment="1">
      <alignment horizontal="center" vertical="top"/>
    </xf>
    <xf numFmtId="0" fontId="83" fillId="24" borderId="108" xfId="0" applyFont="1" applyFill="1" applyBorder="1" applyAlignment="1">
      <alignment horizontal="center" vertical="top"/>
    </xf>
    <xf numFmtId="0" fontId="83" fillId="22" borderId="0" xfId="0" applyFont="1" applyFill="1" applyAlignment="1">
      <alignment horizontal="center"/>
    </xf>
    <xf numFmtId="0" fontId="83" fillId="12" borderId="0" xfId="0" applyFont="1" applyFill="1" applyAlignment="1">
      <alignment horizontal="center"/>
    </xf>
    <xf numFmtId="0" fontId="101" fillId="0" borderId="0" xfId="39" applyFont="1" applyAlignment="1">
      <alignment horizontal="left"/>
    </xf>
    <xf numFmtId="0" fontId="101" fillId="9" borderId="0" xfId="39" applyFont="1" applyFill="1" applyAlignment="1">
      <alignment horizontal="left"/>
    </xf>
    <xf numFmtId="0" fontId="56" fillId="0" borderId="0" xfId="37" applyAlignment="1">
      <alignment horizontal="left"/>
    </xf>
    <xf numFmtId="0" fontId="83" fillId="23" borderId="0" xfId="0" applyFont="1" applyFill="1" applyAlignment="1">
      <alignment horizontal="center"/>
    </xf>
    <xf numFmtId="0" fontId="102" fillId="0" borderId="0" xfId="0" applyFont="1" applyAlignment="1">
      <alignment horizontal="center"/>
    </xf>
    <xf numFmtId="0" fontId="131" fillId="11" borderId="2" xfId="0" applyFont="1" applyFill="1" applyBorder="1" applyAlignment="1">
      <alignment horizontal="center"/>
    </xf>
    <xf numFmtId="0" fontId="131" fillId="33" borderId="11" xfId="0" applyFont="1" applyFill="1" applyBorder="1" applyAlignment="1">
      <alignment horizontal="center"/>
    </xf>
    <xf numFmtId="0" fontId="118" fillId="0" borderId="2" xfId="0" applyFont="1" applyBorder="1" applyAlignment="1">
      <alignment horizontal="left"/>
    </xf>
    <xf numFmtId="0" fontId="28" fillId="0" borderId="32" xfId="27" applyAlignment="1">
      <alignment horizontal="center"/>
    </xf>
    <xf numFmtId="0" fontId="14" fillId="0" borderId="6" xfId="25" applyAlignment="1">
      <alignment horizontal="center"/>
    </xf>
    <xf numFmtId="0" fontId="28" fillId="0" borderId="32" xfId="27" applyAlignment="1">
      <alignment horizontal="center" vertical="center"/>
    </xf>
    <xf numFmtId="0" fontId="131" fillId="33" borderId="2" xfId="0" applyFont="1" applyFill="1" applyBorder="1" applyAlignment="1">
      <alignment horizontal="center"/>
    </xf>
    <xf numFmtId="0" fontId="120" fillId="0" borderId="0" xfId="0" applyFont="1" applyAlignment="1">
      <alignment horizontal="center"/>
    </xf>
    <xf numFmtId="0" fontId="28" fillId="0" borderId="84" xfId="38" applyBorder="1" applyAlignment="1">
      <alignment horizontal="center" vertical="center"/>
    </xf>
    <xf numFmtId="0" fontId="28" fillId="0" borderId="0" xfId="38" applyBorder="1" applyAlignment="1">
      <alignment horizontal="center" vertical="center"/>
    </xf>
    <xf numFmtId="0" fontId="118" fillId="0" borderId="52" xfId="0" applyFont="1" applyBorder="1" applyAlignment="1">
      <alignment horizontal="left"/>
    </xf>
    <xf numFmtId="0" fontId="104" fillId="0" borderId="7" xfId="0" applyFont="1" applyBorder="1" applyAlignment="1">
      <alignment horizontal="center"/>
    </xf>
  </cellXfs>
  <cellStyles count="41">
    <cellStyle name="20% - Accent1" xfId="17" builtinId="30"/>
    <cellStyle name="20% - Accent2" xfId="35" builtinId="34"/>
    <cellStyle name="20% - Accent3" xfId="18" builtinId="38"/>
    <cellStyle name="20% - Accent4" xfId="19" builtinId="42"/>
    <cellStyle name="20% - Accent6" xfId="36" builtinId="50"/>
    <cellStyle name="40% - Accent1" xfId="20" builtinId="31"/>
    <cellStyle name="Accent1" xfId="34" builtinId="29"/>
    <cellStyle name="Calculation" xfId="30" builtinId="22"/>
    <cellStyle name="Comma 2" xfId="3" xr:uid="{00000000-0005-0000-0000-000004000000}"/>
    <cellStyle name="Comma 3" xfId="22" xr:uid="{00000000-0005-0000-0000-000005000000}"/>
    <cellStyle name="Currency" xfId="24" builtinId="4"/>
    <cellStyle name="Currency 2" xfId="4" xr:uid="{00000000-0005-0000-0000-000006000000}"/>
    <cellStyle name="Currency 3" xfId="21" xr:uid="{00000000-0005-0000-0000-000007000000}"/>
    <cellStyle name="Explanatory Text" xfId="33" builtinId="53"/>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Heading 1" xfId="26" builtinId="16"/>
    <cellStyle name="Heading 2" xfId="25" builtinId="17"/>
    <cellStyle name="Heading 3" xfId="27" builtinId="18"/>
    <cellStyle name="Heading 4" xfId="38" builtinId="19"/>
    <cellStyle name="Hyperlink" xfId="14" builtinId="8" hidden="1"/>
    <cellStyle name="Hyperlink" xfId="10" builtinId="8" hidden="1"/>
    <cellStyle name="Hyperlink" xfId="12" builtinId="8" hidden="1"/>
    <cellStyle name="Hyperlink" xfId="6" builtinId="8" hidden="1"/>
    <cellStyle name="Hyperlink" xfId="8" builtinId="8" hidden="1"/>
    <cellStyle name="Hyperlink" xfId="39" builtinId="8"/>
    <cellStyle name="Input" xfId="28" builtinId="20"/>
    <cellStyle name="Linked Cell" xfId="31" builtinId="24"/>
    <cellStyle name="Normal" xfId="0" builtinId="0"/>
    <cellStyle name="Normal 2" xfId="2" xr:uid="{00000000-0005-0000-0000-000015000000}"/>
    <cellStyle name="Normal 3" xfId="23" xr:uid="{00000000-0005-0000-0000-000016000000}"/>
    <cellStyle name="Note" xfId="16" builtinId="10"/>
    <cellStyle name="Output" xfId="29" builtinId="21"/>
    <cellStyle name="Percent" xfId="1" builtinId="5"/>
    <cellStyle name="Percent 2" xfId="5" xr:uid="{00000000-0005-0000-0000-000019000000}"/>
    <cellStyle name="Title" xfId="37" builtinId="15"/>
    <cellStyle name="Total" xfId="40" builtinId="25"/>
    <cellStyle name="Warning Text" xfId="32" builtinId="11"/>
  </cellStyles>
  <dxfs count="3">
    <dxf>
      <fill>
        <patternFill>
          <bgColor theme="5" tint="0.39994506668294322"/>
        </patternFill>
      </fill>
    </dxf>
    <dxf>
      <fill>
        <patternFill patternType="solid">
          <bgColor rgb="FFFF9797"/>
        </patternFill>
      </fill>
    </dxf>
    <dxf>
      <fill>
        <patternFill>
          <bgColor theme="5" tint="0.399945066682943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BCF53"/>
      <color rgb="FFFAC01A"/>
      <color rgb="FF0052BF"/>
      <color rgb="FFF6F600"/>
      <color rgb="FFF2F2F2"/>
      <color rgb="FFF3E479"/>
      <color rgb="FFE80404"/>
      <color rgb="FFE1DFE1"/>
      <color rgb="FFA8BFAE"/>
      <color rgb="FFE8E6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NAU Colors-2">
      <a:dk1>
        <a:srgbClr val="002454"/>
      </a:dk1>
      <a:lt1>
        <a:sysClr val="window" lastClr="FFFFFF"/>
      </a:lt1>
      <a:dk2>
        <a:srgbClr val="1F497D"/>
      </a:dk2>
      <a:lt2>
        <a:srgbClr val="A5A5A5"/>
      </a:lt2>
      <a:accent1>
        <a:srgbClr val="0066B2"/>
      </a:accent1>
      <a:accent2>
        <a:srgbClr val="CF4527"/>
      </a:accent2>
      <a:accent3>
        <a:srgbClr val="007A33"/>
      </a:accent3>
      <a:accent4>
        <a:srgbClr val="8064A2"/>
      </a:accent4>
      <a:accent5>
        <a:srgbClr val="00ADB5"/>
      </a:accent5>
      <a:accent6>
        <a:srgbClr val="F68300"/>
      </a:accent6>
      <a:hlink>
        <a:srgbClr val="FFFFFF"/>
      </a:hlink>
      <a:folHlink>
        <a:srgbClr val="FE19F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gao.az.gov/state-arizona-accounting-manual-saam" TargetMode="External"/><Relationship Id="rId2" Type="http://schemas.openxmlformats.org/officeDocument/2006/relationships/hyperlink" Target="https://nau.edu/university-policy-library/travel-policies/" TargetMode="External"/><Relationship Id="rId1" Type="http://schemas.openxmlformats.org/officeDocument/2006/relationships/hyperlink" Target="https://www.gsa.gov/" TargetMode="External"/><Relationship Id="rId6" Type="http://schemas.openxmlformats.org/officeDocument/2006/relationships/printerSettings" Target="../printerSettings/printerSettings4.bin"/><Relationship Id="rId5" Type="http://schemas.openxmlformats.org/officeDocument/2006/relationships/hyperlink" Target="https://www.fedrooms.com/home.html" TargetMode="External"/><Relationship Id="rId4" Type="http://schemas.openxmlformats.org/officeDocument/2006/relationships/hyperlink" Target="https://gao.az.gov/state-arizona-accounting-manual-sa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F02E4-0A2D-4ECC-8EB4-F99B2081786A}">
  <sheetPr>
    <tabColor theme="5" tint="0.39997558519241921"/>
  </sheetPr>
  <dimension ref="B1:V101"/>
  <sheetViews>
    <sheetView showGridLines="0" tabSelected="1" zoomScaleNormal="100" workbookViewId="0">
      <selection activeCell="B21" sqref="B21:P21"/>
    </sheetView>
  </sheetViews>
  <sheetFormatPr defaultRowHeight="12.75" outlineLevelRow="1" x14ac:dyDescent="0.2"/>
  <cols>
    <col min="1" max="1" width="4" customWidth="1"/>
    <col min="2" max="2" width="22.7109375" style="9" customWidth="1"/>
    <col min="3" max="3" width="16.85546875" customWidth="1"/>
    <col min="4" max="4" width="18.85546875" customWidth="1"/>
    <col min="5" max="5" width="12.42578125" customWidth="1"/>
    <col min="6" max="6" width="14.28515625" customWidth="1"/>
    <col min="7" max="7" width="14.140625" customWidth="1"/>
    <col min="8" max="8" width="13.5703125" customWidth="1"/>
    <col min="9" max="9" width="5.28515625" customWidth="1"/>
    <col min="10" max="13" width="7.7109375" customWidth="1"/>
    <col min="15" max="15" width="7.7109375" customWidth="1"/>
    <col min="17" max="17" width="7.42578125" customWidth="1"/>
  </cols>
  <sheetData>
    <row r="1" spans="2:17" ht="23.25" customHeight="1" x14ac:dyDescent="0.2">
      <c r="B1" s="643" t="s">
        <v>0</v>
      </c>
      <c r="C1" s="643"/>
      <c r="D1" s="643"/>
      <c r="E1" s="643"/>
      <c r="F1" s="643"/>
      <c r="G1" s="643"/>
      <c r="H1" s="643"/>
      <c r="I1" s="643"/>
      <c r="J1" s="643"/>
      <c r="K1" s="643"/>
      <c r="L1" s="643"/>
      <c r="M1" s="643"/>
      <c r="N1" s="643"/>
      <c r="O1" s="643"/>
      <c r="P1" s="643"/>
    </row>
    <row r="2" spans="2:17" ht="28.5" customHeight="1" x14ac:dyDescent="0.2">
      <c r="B2" s="643"/>
      <c r="C2" s="643"/>
      <c r="D2" s="643"/>
      <c r="E2" s="643"/>
      <c r="F2" s="643"/>
      <c r="G2" s="643"/>
      <c r="H2" s="643"/>
      <c r="I2" s="643"/>
      <c r="J2" s="643"/>
      <c r="K2" s="643"/>
      <c r="L2" s="643"/>
      <c r="M2" s="643"/>
      <c r="N2" s="643"/>
      <c r="O2" s="643"/>
      <c r="P2" s="643"/>
    </row>
    <row r="3" spans="2:17" ht="16.5" customHeight="1" x14ac:dyDescent="0.2">
      <c r="B3" s="643"/>
      <c r="C3" s="643"/>
      <c r="D3" s="643"/>
      <c r="E3" s="643"/>
      <c r="F3" s="643"/>
      <c r="G3" s="643"/>
      <c r="H3" s="643"/>
      <c r="I3" s="643"/>
      <c r="J3" s="643"/>
      <c r="K3" s="643"/>
      <c r="L3" s="643"/>
      <c r="M3" s="643"/>
      <c r="N3" s="643"/>
      <c r="O3" s="643"/>
      <c r="P3" s="643"/>
    </row>
    <row r="4" spans="2:17" x14ac:dyDescent="0.2">
      <c r="C4" s="10"/>
    </row>
    <row r="5" spans="2:17" ht="23.25" customHeight="1" x14ac:dyDescent="0.25">
      <c r="B5" s="635" t="s">
        <v>1</v>
      </c>
      <c r="C5" s="635"/>
      <c r="D5" s="91" t="s">
        <v>2</v>
      </c>
      <c r="E5" s="91"/>
      <c r="F5" s="91"/>
      <c r="G5" s="91"/>
      <c r="H5" s="91"/>
      <c r="I5" s="91"/>
      <c r="J5" s="91"/>
      <c r="K5" s="91"/>
      <c r="L5" s="91"/>
      <c r="M5" s="91"/>
      <c r="N5" s="91"/>
      <c r="O5" s="91"/>
      <c r="P5" s="89"/>
      <c r="Q5" s="14"/>
    </row>
    <row r="6" spans="2:17" ht="15.75" x14ac:dyDescent="0.25">
      <c r="B6" s="86"/>
      <c r="D6" s="91" t="s">
        <v>3</v>
      </c>
      <c r="F6" s="91"/>
      <c r="G6" s="91"/>
      <c r="H6" s="91"/>
      <c r="I6" s="91"/>
      <c r="J6" s="91"/>
      <c r="K6" s="91"/>
      <c r="L6" s="91"/>
      <c r="M6" s="91"/>
      <c r="N6" s="91"/>
      <c r="O6" s="91"/>
      <c r="P6" s="89"/>
      <c r="Q6" s="14"/>
    </row>
    <row r="7" spans="2:17" ht="23.25" customHeight="1" x14ac:dyDescent="0.25">
      <c r="B7" s="636" t="s">
        <v>4</v>
      </c>
      <c r="C7" s="636"/>
      <c r="D7" s="91" t="s">
        <v>435</v>
      </c>
      <c r="E7" s="91"/>
      <c r="F7" s="91"/>
      <c r="G7" s="91"/>
      <c r="H7" s="91"/>
      <c r="I7" s="91"/>
      <c r="J7" s="91"/>
      <c r="K7" s="91"/>
      <c r="L7" s="91"/>
      <c r="M7" s="91"/>
      <c r="N7" s="91"/>
      <c r="O7" s="91"/>
      <c r="P7" s="89"/>
      <c r="Q7" s="14"/>
    </row>
    <row r="8" spans="2:17" ht="15.75" x14ac:dyDescent="0.25">
      <c r="B8" s="86"/>
      <c r="D8" s="91" t="s">
        <v>5</v>
      </c>
      <c r="F8" s="91"/>
      <c r="G8" s="91"/>
      <c r="H8" s="91"/>
      <c r="I8" s="91"/>
      <c r="J8" s="91"/>
      <c r="K8" s="91"/>
      <c r="L8" s="91"/>
      <c r="M8" s="91"/>
      <c r="N8" s="91"/>
      <c r="O8" s="91"/>
      <c r="P8" s="89"/>
      <c r="Q8" s="14"/>
    </row>
    <row r="9" spans="2:17" ht="15.75" x14ac:dyDescent="0.25">
      <c r="B9" s="86"/>
      <c r="D9" s="91" t="s">
        <v>6</v>
      </c>
      <c r="F9" s="91"/>
      <c r="G9" s="91"/>
      <c r="H9" s="91"/>
      <c r="I9" s="91"/>
      <c r="J9" s="91"/>
      <c r="K9" s="91"/>
      <c r="L9" s="91"/>
      <c r="M9" s="91"/>
      <c r="N9" s="91"/>
      <c r="O9" s="91"/>
      <c r="P9" s="89"/>
      <c r="Q9" s="14"/>
    </row>
    <row r="10" spans="2:17" ht="15" customHeight="1" x14ac:dyDescent="0.25">
      <c r="D10" s="91" t="s">
        <v>7</v>
      </c>
      <c r="F10" s="91"/>
      <c r="G10" s="91"/>
      <c r="H10" s="91"/>
      <c r="I10" s="91"/>
      <c r="J10" s="91"/>
      <c r="K10" s="91"/>
      <c r="L10" s="91"/>
      <c r="M10" s="91"/>
      <c r="N10" s="91"/>
      <c r="O10" s="91"/>
      <c r="P10" s="89"/>
    </row>
    <row r="11" spans="2:17" ht="23.25" customHeight="1" x14ac:dyDescent="0.25">
      <c r="B11" s="637" t="s">
        <v>8</v>
      </c>
      <c r="C11" s="637"/>
      <c r="D11" s="91" t="s">
        <v>9</v>
      </c>
      <c r="E11" s="91"/>
      <c r="F11" s="91"/>
      <c r="G11" s="91"/>
      <c r="H11" s="91"/>
      <c r="I11" s="91"/>
      <c r="J11" s="91"/>
      <c r="K11" s="91"/>
      <c r="L11" s="91"/>
      <c r="M11" s="91"/>
      <c r="N11" s="91"/>
      <c r="O11" s="91"/>
      <c r="P11" s="89"/>
      <c r="Q11" s="14"/>
    </row>
    <row r="12" spans="2:17" ht="15.75" x14ac:dyDescent="0.25">
      <c r="B12" s="111"/>
      <c r="C12" s="111"/>
      <c r="D12" s="91" t="s">
        <v>10</v>
      </c>
      <c r="F12" s="91"/>
      <c r="G12" s="91"/>
      <c r="H12" s="91"/>
      <c r="I12" s="91"/>
      <c r="J12" s="91"/>
      <c r="K12" s="91"/>
      <c r="L12" s="91"/>
      <c r="M12" s="91"/>
      <c r="N12" s="91"/>
      <c r="O12" s="91"/>
      <c r="P12" s="89"/>
      <c r="Q12" s="14"/>
    </row>
    <row r="13" spans="2:17" ht="23.25" customHeight="1" x14ac:dyDescent="0.25">
      <c r="B13" s="639" t="s">
        <v>11</v>
      </c>
      <c r="C13" s="639"/>
      <c r="D13" s="91" t="s">
        <v>12</v>
      </c>
      <c r="E13" s="91"/>
      <c r="F13" s="91"/>
      <c r="G13" s="91"/>
      <c r="H13" s="91"/>
      <c r="I13" s="91"/>
      <c r="J13" s="91"/>
      <c r="K13" s="91"/>
      <c r="L13" s="91"/>
      <c r="M13" s="91"/>
      <c r="N13" s="91"/>
      <c r="O13" s="91"/>
      <c r="P13" s="89"/>
      <c r="Q13" s="14"/>
    </row>
    <row r="14" spans="2:17" ht="13.5" customHeight="1" x14ac:dyDescent="0.25">
      <c r="B14" s="111"/>
      <c r="C14" s="111"/>
      <c r="D14" s="91" t="s">
        <v>13</v>
      </c>
      <c r="F14" s="91"/>
      <c r="G14" s="91"/>
      <c r="H14" s="91"/>
      <c r="I14" s="91"/>
      <c r="J14" s="91"/>
      <c r="K14" s="91"/>
      <c r="L14" s="91"/>
      <c r="M14" s="91"/>
      <c r="N14" s="91"/>
      <c r="O14" s="91"/>
      <c r="P14" s="89"/>
      <c r="Q14" s="14"/>
    </row>
    <row r="15" spans="2:17" ht="23.25" customHeight="1" x14ac:dyDescent="0.25">
      <c r="B15" s="638" t="s">
        <v>14</v>
      </c>
      <c r="C15" s="638"/>
      <c r="D15" s="91" t="s">
        <v>15</v>
      </c>
      <c r="E15" s="91"/>
      <c r="F15" s="91"/>
      <c r="G15" s="91"/>
      <c r="H15" s="91"/>
      <c r="I15" s="91"/>
      <c r="J15" s="91"/>
      <c r="K15" s="91"/>
      <c r="L15" s="91"/>
      <c r="M15" s="91"/>
      <c r="N15" s="91"/>
      <c r="O15" s="91"/>
      <c r="P15" s="89"/>
      <c r="Q15" s="14"/>
    </row>
    <row r="16" spans="2:17" ht="13.5" customHeight="1" x14ac:dyDescent="0.25">
      <c r="B16" s="111"/>
      <c r="C16" s="111"/>
      <c r="D16" s="462" t="s">
        <v>16</v>
      </c>
      <c r="F16" s="91"/>
      <c r="G16" s="91"/>
      <c r="H16" s="91"/>
      <c r="I16" s="91"/>
      <c r="J16" s="91"/>
      <c r="K16" s="91"/>
      <c r="L16" s="91"/>
      <c r="M16" s="91"/>
      <c r="N16" s="91"/>
      <c r="O16" s="91"/>
      <c r="P16" s="89"/>
      <c r="Q16" s="14"/>
    </row>
    <row r="17" spans="2:17" ht="23.25" customHeight="1" x14ac:dyDescent="0.25">
      <c r="B17" s="642" t="s">
        <v>17</v>
      </c>
      <c r="C17" s="642"/>
      <c r="D17" s="91" t="s">
        <v>18</v>
      </c>
      <c r="E17" s="91"/>
      <c r="F17" s="91"/>
      <c r="G17" s="91"/>
      <c r="H17" s="91"/>
      <c r="I17" s="91"/>
      <c r="J17" s="91"/>
      <c r="K17" s="91"/>
      <c r="L17" s="91"/>
      <c r="M17" s="91"/>
      <c r="N17" s="91"/>
      <c r="O17" s="91"/>
      <c r="P17" s="89"/>
      <c r="Q17" s="14"/>
    </row>
    <row r="18" spans="2:17" ht="13.5" customHeight="1" x14ac:dyDescent="0.25">
      <c r="B18" s="111"/>
      <c r="C18" s="111"/>
      <c r="D18" s="91" t="s">
        <v>19</v>
      </c>
      <c r="E18" s="91"/>
      <c r="F18" s="91"/>
      <c r="G18" s="91"/>
      <c r="H18" s="91"/>
      <c r="I18" s="91"/>
      <c r="J18" s="91"/>
      <c r="K18" s="91"/>
      <c r="L18" s="91"/>
      <c r="M18" s="91"/>
      <c r="N18" s="91"/>
      <c r="O18" s="91"/>
      <c r="P18" s="89"/>
      <c r="Q18" s="14"/>
    </row>
    <row r="19" spans="2:17" ht="12.75" customHeight="1" x14ac:dyDescent="0.25">
      <c r="B19" s="111"/>
      <c r="C19" s="111"/>
      <c r="D19" s="91"/>
      <c r="E19" s="91"/>
      <c r="F19" s="91"/>
      <c r="G19" s="91"/>
      <c r="H19" s="91"/>
      <c r="I19" s="91"/>
      <c r="J19" s="91"/>
      <c r="K19" s="91"/>
      <c r="L19" s="91"/>
      <c r="M19" s="91"/>
      <c r="N19" s="91"/>
      <c r="O19" s="91"/>
      <c r="P19" s="89"/>
      <c r="Q19" s="14"/>
    </row>
    <row r="20" spans="2:17" ht="9.75" customHeight="1" x14ac:dyDescent="0.3">
      <c r="B20" s="87"/>
      <c r="C20" s="13"/>
      <c r="D20" s="13"/>
      <c r="E20" s="13"/>
      <c r="F20" s="13"/>
      <c r="G20" s="13"/>
      <c r="H20" s="13"/>
      <c r="I20" s="13"/>
      <c r="J20" s="13"/>
      <c r="K20" s="13"/>
      <c r="L20" s="13"/>
      <c r="M20" s="13"/>
      <c r="N20" s="11"/>
    </row>
    <row r="21" spans="2:17" ht="33" customHeight="1" thickBot="1" x14ac:dyDescent="0.35">
      <c r="B21" s="644" t="s">
        <v>20</v>
      </c>
      <c r="C21" s="644"/>
      <c r="D21" s="644"/>
      <c r="E21" s="644"/>
      <c r="F21" s="644"/>
      <c r="G21" s="644"/>
      <c r="H21" s="644"/>
      <c r="I21" s="644"/>
      <c r="J21" s="644"/>
      <c r="K21" s="644"/>
      <c r="L21" s="644"/>
      <c r="M21" s="644"/>
      <c r="N21" s="644"/>
      <c r="O21" s="644"/>
      <c r="P21" s="644"/>
    </row>
    <row r="22" spans="2:17" ht="13.5" thickTop="1" x14ac:dyDescent="0.2"/>
    <row r="23" spans="2:17" ht="15.75" x14ac:dyDescent="0.25">
      <c r="B23" s="97" t="s">
        <v>21</v>
      </c>
      <c r="C23" s="274" t="s">
        <v>22</v>
      </c>
      <c r="D23" s="100" t="s">
        <v>23</v>
      </c>
      <c r="E23" s="100"/>
      <c r="F23" s="100"/>
      <c r="G23" s="12"/>
      <c r="H23" s="12"/>
      <c r="I23" s="12"/>
    </row>
    <row r="24" spans="2:17" ht="6" customHeight="1" x14ac:dyDescent="0.25">
      <c r="B24" s="97"/>
      <c r="C24" s="88"/>
      <c r="D24" s="100"/>
      <c r="E24" s="100"/>
      <c r="F24" s="100"/>
      <c r="G24" s="11"/>
      <c r="H24" s="11"/>
      <c r="I24" s="11"/>
    </row>
    <row r="25" spans="2:17" ht="33" customHeight="1" x14ac:dyDescent="0.25">
      <c r="B25" s="97" t="s">
        <v>24</v>
      </c>
      <c r="C25" s="98" t="s">
        <v>25</v>
      </c>
      <c r="D25" s="100" t="s">
        <v>26</v>
      </c>
      <c r="E25" s="100"/>
      <c r="F25" s="100"/>
      <c r="G25" s="12"/>
      <c r="H25" s="12"/>
      <c r="I25" s="12"/>
    </row>
    <row r="26" spans="2:17" ht="10.5" customHeight="1" x14ac:dyDescent="0.25">
      <c r="B26" s="97"/>
      <c r="C26" s="88"/>
      <c r="D26" s="100"/>
      <c r="E26" s="100"/>
      <c r="F26" s="100"/>
      <c r="G26" s="11"/>
      <c r="H26" s="11"/>
      <c r="I26" s="11"/>
    </row>
    <row r="27" spans="2:17" ht="15.75" x14ac:dyDescent="0.25">
      <c r="B27" s="97" t="s">
        <v>27</v>
      </c>
      <c r="C27" s="85" t="s">
        <v>28</v>
      </c>
      <c r="D27" s="100" t="s">
        <v>29</v>
      </c>
      <c r="E27" s="100"/>
      <c r="F27" s="100"/>
      <c r="G27" s="12"/>
      <c r="H27" s="12"/>
      <c r="I27" s="12"/>
    </row>
    <row r="28" spans="2:17" ht="30.75" customHeight="1" thickBot="1" x14ac:dyDescent="0.3">
      <c r="B28" s="97" t="s">
        <v>30</v>
      </c>
      <c r="C28" s="99" t="s">
        <v>31</v>
      </c>
      <c r="D28" s="100" t="s">
        <v>32</v>
      </c>
      <c r="E28" s="100"/>
      <c r="F28" s="100"/>
      <c r="G28" s="12"/>
      <c r="H28" s="12"/>
      <c r="I28" s="12"/>
    </row>
    <row r="29" spans="2:17" ht="9.75" customHeight="1" thickTop="1" x14ac:dyDescent="0.25">
      <c r="B29" s="97"/>
      <c r="C29" s="86"/>
      <c r="D29" s="100"/>
      <c r="E29" s="100"/>
      <c r="F29" s="100"/>
      <c r="G29" s="11"/>
      <c r="H29" s="11"/>
      <c r="I29" s="11"/>
    </row>
    <row r="30" spans="2:17" ht="15.75" x14ac:dyDescent="0.25">
      <c r="B30" s="97" t="s">
        <v>33</v>
      </c>
      <c r="C30" s="400" t="s">
        <v>22</v>
      </c>
      <c r="D30" s="100" t="s">
        <v>34</v>
      </c>
      <c r="E30" s="100"/>
      <c r="F30" s="100"/>
      <c r="G30" s="11"/>
      <c r="H30" s="11"/>
      <c r="I30" s="11"/>
    </row>
    <row r="31" spans="2:17" ht="15.75" x14ac:dyDescent="0.25">
      <c r="B31" s="97"/>
      <c r="C31" s="402"/>
      <c r="D31" s="100"/>
      <c r="E31" s="100"/>
      <c r="F31" s="100"/>
      <c r="G31" s="11"/>
      <c r="H31" s="11"/>
      <c r="I31" s="11"/>
    </row>
    <row r="32" spans="2:17" ht="30" x14ac:dyDescent="0.25">
      <c r="B32" s="97" t="s">
        <v>35</v>
      </c>
      <c r="C32" s="501" t="s">
        <v>36</v>
      </c>
      <c r="D32" s="100" t="s">
        <v>37</v>
      </c>
      <c r="E32" s="100"/>
      <c r="F32" s="100"/>
      <c r="G32" s="11"/>
      <c r="H32" s="11"/>
      <c r="I32" s="11"/>
    </row>
    <row r="33" spans="2:17" ht="15.75" x14ac:dyDescent="0.25">
      <c r="B33" s="97"/>
      <c r="C33" s="402"/>
      <c r="D33" s="100"/>
      <c r="E33" s="100"/>
      <c r="F33" s="100"/>
      <c r="G33" s="11"/>
      <c r="H33" s="11"/>
      <c r="I33" s="11"/>
    </row>
    <row r="34" spans="2:17" ht="15" x14ac:dyDescent="0.25">
      <c r="B34" s="403" t="s">
        <v>38</v>
      </c>
      <c r="C34" s="404" t="s">
        <v>39</v>
      </c>
      <c r="D34" s="404"/>
      <c r="E34" s="404"/>
      <c r="F34" s="405"/>
      <c r="G34" s="406"/>
      <c r="H34" s="406"/>
      <c r="I34" s="406"/>
      <c r="J34" s="406"/>
      <c r="K34" s="406"/>
      <c r="L34" s="407"/>
    </row>
    <row r="35" spans="2:17" ht="15" x14ac:dyDescent="0.25">
      <c r="B35" s="97"/>
      <c r="C35" s="404" t="s">
        <v>40</v>
      </c>
      <c r="D35" s="404"/>
      <c r="E35" s="404"/>
      <c r="F35" s="405"/>
      <c r="G35" s="406"/>
      <c r="H35" s="406"/>
      <c r="I35" s="406"/>
      <c r="J35" s="406"/>
      <c r="K35" s="406"/>
      <c r="L35" s="407"/>
    </row>
    <row r="36" spans="2:17" ht="15" x14ac:dyDescent="0.25">
      <c r="B36" s="401"/>
      <c r="C36" s="408" t="s">
        <v>41</v>
      </c>
      <c r="D36" s="408"/>
      <c r="E36" s="408"/>
      <c r="F36" s="405"/>
      <c r="G36" s="406"/>
      <c r="H36" s="406"/>
      <c r="I36" s="406"/>
      <c r="J36" s="406"/>
      <c r="K36" s="406"/>
      <c r="L36" s="407"/>
    </row>
    <row r="37" spans="2:17" ht="29.25" customHeight="1" thickBot="1" x14ac:dyDescent="0.35">
      <c r="B37" s="644" t="s">
        <v>42</v>
      </c>
      <c r="C37" s="644"/>
      <c r="D37" s="644"/>
      <c r="E37" s="644"/>
      <c r="F37" s="644"/>
      <c r="G37" s="644"/>
      <c r="H37" s="644"/>
      <c r="I37" s="644"/>
      <c r="J37" s="644"/>
      <c r="K37" s="644"/>
      <c r="L37" s="644"/>
      <c r="M37" s="644"/>
      <c r="N37" s="644"/>
      <c r="O37" s="644"/>
      <c r="P37" s="644"/>
    </row>
    <row r="38" spans="2:17" ht="33" customHeight="1" thickTop="1" x14ac:dyDescent="0.25">
      <c r="B38" s="92" t="s">
        <v>43</v>
      </c>
      <c r="C38" s="94" t="s">
        <v>44</v>
      </c>
      <c r="D38" s="94"/>
      <c r="E38" s="94"/>
      <c r="F38" s="94"/>
      <c r="G38" s="94"/>
      <c r="H38" s="94"/>
      <c r="I38" s="94"/>
      <c r="J38" s="94"/>
      <c r="K38" s="94"/>
      <c r="L38" s="94"/>
      <c r="M38" s="94"/>
      <c r="N38" s="94"/>
      <c r="O38" s="11"/>
      <c r="P38" s="11"/>
      <c r="Q38" s="11"/>
    </row>
    <row r="39" spans="2:17" ht="15" x14ac:dyDescent="0.25">
      <c r="B39" s="92"/>
      <c r="C39" s="94" t="s">
        <v>45</v>
      </c>
      <c r="D39" s="94"/>
      <c r="E39" s="94"/>
      <c r="F39" s="94"/>
      <c r="G39" s="94"/>
      <c r="H39" s="94"/>
      <c r="I39" s="94"/>
      <c r="J39" s="94"/>
      <c r="K39" s="94"/>
      <c r="L39" s="94"/>
      <c r="M39" s="94"/>
      <c r="N39" s="94"/>
      <c r="O39" s="11"/>
      <c r="P39" s="11"/>
      <c r="Q39" s="11"/>
    </row>
    <row r="40" spans="2:17" ht="15" x14ac:dyDescent="0.25">
      <c r="B40" s="92"/>
      <c r="C40" s="94" t="s">
        <v>46</v>
      </c>
      <c r="D40" s="94"/>
      <c r="E40" s="94"/>
      <c r="F40" s="94"/>
      <c r="G40" s="94"/>
      <c r="H40" s="94"/>
      <c r="I40" s="94"/>
      <c r="J40" s="94"/>
      <c r="K40" s="94"/>
      <c r="L40" s="94"/>
      <c r="M40" s="94"/>
      <c r="N40" s="94"/>
      <c r="O40" s="11"/>
      <c r="P40" s="11"/>
      <c r="Q40" s="11"/>
    </row>
    <row r="41" spans="2:17" ht="15" x14ac:dyDescent="0.25">
      <c r="B41" s="92"/>
      <c r="C41" s="94" t="s">
        <v>47</v>
      </c>
      <c r="D41" s="94"/>
      <c r="E41" s="94"/>
      <c r="F41" s="94"/>
      <c r="G41" s="94"/>
      <c r="H41" s="94"/>
      <c r="I41" s="94"/>
      <c r="J41" s="94"/>
      <c r="K41" s="94"/>
      <c r="L41" s="94"/>
      <c r="M41" s="94"/>
      <c r="N41" s="94"/>
      <c r="O41" s="11"/>
      <c r="P41" s="11"/>
      <c r="Q41" s="11"/>
    </row>
    <row r="42" spans="2:17" ht="5.25" customHeight="1" x14ac:dyDescent="0.25">
      <c r="B42" s="92"/>
      <c r="C42" s="94"/>
      <c r="D42" s="94"/>
      <c r="E42" s="94"/>
      <c r="F42" s="94"/>
      <c r="G42" s="94"/>
      <c r="H42" s="94"/>
      <c r="I42" s="94"/>
      <c r="J42" s="94"/>
      <c r="K42" s="94"/>
      <c r="L42" s="94"/>
      <c r="M42" s="94"/>
      <c r="N42" s="94"/>
      <c r="O42" s="11"/>
      <c r="P42" s="11"/>
      <c r="Q42" s="11"/>
    </row>
    <row r="43" spans="2:17" ht="30" x14ac:dyDescent="0.25">
      <c r="B43" s="92" t="s">
        <v>48</v>
      </c>
      <c r="C43" s="95" t="s">
        <v>49</v>
      </c>
      <c r="D43" s="95"/>
      <c r="E43" s="95"/>
      <c r="F43" s="94"/>
      <c r="G43" s="94"/>
      <c r="H43" s="94"/>
      <c r="I43" s="94"/>
      <c r="J43" s="94"/>
      <c r="K43" s="94"/>
      <c r="L43" s="94"/>
      <c r="M43" s="94"/>
      <c r="N43" s="94"/>
      <c r="O43" s="11"/>
      <c r="P43" s="11"/>
      <c r="Q43" s="11"/>
    </row>
    <row r="44" spans="2:17" ht="15" x14ac:dyDescent="0.25">
      <c r="B44" s="90"/>
      <c r="C44" s="94" t="s">
        <v>50</v>
      </c>
      <c r="D44" s="94" t="s">
        <v>51</v>
      </c>
      <c r="E44" s="94"/>
      <c r="F44" s="94"/>
      <c r="G44" s="94"/>
      <c r="H44" s="94"/>
      <c r="I44" s="94"/>
      <c r="J44" s="94"/>
      <c r="K44" s="94"/>
      <c r="L44" s="94"/>
      <c r="M44" s="94"/>
      <c r="N44" s="94"/>
      <c r="O44" s="11"/>
      <c r="P44" s="11"/>
      <c r="Q44" s="11"/>
    </row>
    <row r="45" spans="2:17" ht="15" x14ac:dyDescent="0.25">
      <c r="B45" s="90"/>
      <c r="C45" s="94"/>
      <c r="D45" s="94" t="s">
        <v>52</v>
      </c>
      <c r="E45" s="94"/>
      <c r="F45" s="94"/>
      <c r="G45" s="94"/>
      <c r="H45" s="94"/>
      <c r="I45" s="94"/>
      <c r="J45" s="94"/>
      <c r="K45" s="94"/>
      <c r="L45" s="94"/>
      <c r="M45" s="94"/>
      <c r="N45" s="94"/>
      <c r="O45" s="11"/>
      <c r="P45" s="11"/>
      <c r="Q45" s="11"/>
    </row>
    <row r="46" spans="2:17" ht="15" x14ac:dyDescent="0.25">
      <c r="B46" s="90"/>
      <c r="C46" s="94"/>
      <c r="D46" s="94" t="s">
        <v>53</v>
      </c>
      <c r="E46" s="94"/>
      <c r="F46" s="94"/>
      <c r="G46" s="94"/>
      <c r="H46" s="94"/>
      <c r="I46" s="94"/>
      <c r="J46" s="94"/>
      <c r="K46" s="94"/>
      <c r="L46" s="94"/>
      <c r="M46" s="94"/>
      <c r="N46" s="94"/>
      <c r="O46" s="11"/>
      <c r="P46" s="11"/>
      <c r="Q46" s="11"/>
    </row>
    <row r="47" spans="2:17" ht="8.25" customHeight="1" x14ac:dyDescent="0.25">
      <c r="B47" s="90"/>
      <c r="C47" s="94"/>
      <c r="D47" s="94"/>
      <c r="E47" s="94"/>
      <c r="F47" s="94"/>
      <c r="G47" s="94"/>
      <c r="H47" s="94"/>
      <c r="I47" s="94"/>
      <c r="J47" s="94"/>
      <c r="K47" s="94"/>
      <c r="L47" s="94"/>
      <c r="M47" s="94"/>
      <c r="N47" s="94"/>
      <c r="O47" s="11"/>
      <c r="P47" s="11"/>
      <c r="Q47" s="11"/>
    </row>
    <row r="48" spans="2:17" ht="15" x14ac:dyDescent="0.25">
      <c r="B48" s="90"/>
      <c r="C48" s="94" t="s">
        <v>54</v>
      </c>
      <c r="D48" s="94" t="s">
        <v>55</v>
      </c>
      <c r="E48" s="94"/>
      <c r="F48" s="94"/>
      <c r="G48" s="94"/>
      <c r="H48" s="94"/>
      <c r="I48" s="94"/>
      <c r="J48" s="94"/>
      <c r="K48" s="94"/>
      <c r="L48" s="94"/>
      <c r="M48" s="94"/>
      <c r="N48" s="94"/>
      <c r="O48" s="11"/>
      <c r="P48" s="11"/>
      <c r="Q48" s="11"/>
    </row>
    <row r="49" spans="2:22" ht="15" x14ac:dyDescent="0.25">
      <c r="B49" s="90"/>
      <c r="C49" s="94"/>
      <c r="D49" s="94" t="s">
        <v>56</v>
      </c>
      <c r="E49" s="94"/>
      <c r="F49" s="94"/>
      <c r="G49" s="94"/>
      <c r="H49" s="94"/>
      <c r="I49" s="94"/>
      <c r="J49" s="94"/>
      <c r="K49" s="94"/>
      <c r="L49" s="94"/>
      <c r="M49" s="94"/>
      <c r="N49" s="94"/>
      <c r="O49" s="11"/>
      <c r="P49" s="11"/>
      <c r="Q49" s="11"/>
    </row>
    <row r="50" spans="2:22" ht="3.75" customHeight="1" x14ac:dyDescent="0.25">
      <c r="B50" s="90"/>
      <c r="C50" s="94"/>
      <c r="D50" s="94"/>
      <c r="E50" s="94"/>
      <c r="F50" s="94"/>
      <c r="G50" s="94"/>
      <c r="H50" s="94"/>
      <c r="I50" s="94"/>
      <c r="J50" s="94"/>
      <c r="K50" s="94"/>
      <c r="L50" s="94"/>
      <c r="M50" s="94"/>
      <c r="N50" s="94"/>
      <c r="O50" s="11"/>
      <c r="P50" s="11"/>
      <c r="Q50" s="11"/>
    </row>
    <row r="51" spans="2:22" ht="15" x14ac:dyDescent="0.25">
      <c r="B51" s="90"/>
      <c r="C51" s="96" t="s">
        <v>57</v>
      </c>
      <c r="D51" s="94" t="s">
        <v>58</v>
      </c>
      <c r="E51" s="94"/>
      <c r="F51" s="94"/>
      <c r="G51" s="94"/>
      <c r="H51" s="94"/>
      <c r="I51" s="94"/>
      <c r="J51" s="94"/>
      <c r="K51" s="94"/>
      <c r="L51" s="94"/>
      <c r="M51" s="94"/>
      <c r="N51" s="94"/>
      <c r="O51" s="11"/>
      <c r="P51" s="11"/>
      <c r="Q51" s="11"/>
    </row>
    <row r="52" spans="2:22" ht="15" x14ac:dyDescent="0.25">
      <c r="B52" s="90"/>
      <c r="C52" s="94"/>
      <c r="D52" s="94" t="s">
        <v>59</v>
      </c>
      <c r="E52" s="94"/>
      <c r="F52" s="94"/>
      <c r="G52" s="94"/>
      <c r="H52" s="94"/>
      <c r="I52" s="94"/>
      <c r="J52" s="94"/>
      <c r="K52" s="94"/>
      <c r="L52" s="94"/>
      <c r="M52" s="94"/>
      <c r="N52" s="94"/>
      <c r="O52" s="11"/>
      <c r="P52" s="11"/>
      <c r="Q52" s="11"/>
    </row>
    <row r="53" spans="2:22" ht="15" x14ac:dyDescent="0.25">
      <c r="B53" s="90"/>
      <c r="C53" s="94"/>
      <c r="D53" s="94" t="s">
        <v>60</v>
      </c>
      <c r="E53" s="94"/>
      <c r="F53" s="94"/>
      <c r="G53" s="94"/>
      <c r="H53" s="94"/>
      <c r="I53" s="94"/>
      <c r="J53" s="94"/>
      <c r="K53" s="94"/>
      <c r="L53" s="94"/>
      <c r="M53" s="94"/>
      <c r="N53" s="94"/>
      <c r="O53" s="11"/>
      <c r="P53" s="11"/>
      <c r="Q53" s="11"/>
    </row>
    <row r="54" spans="2:22" ht="15" x14ac:dyDescent="0.25">
      <c r="B54" s="92" t="s">
        <v>38</v>
      </c>
      <c r="C54" s="89" t="s">
        <v>61</v>
      </c>
      <c r="D54" s="89"/>
      <c r="E54" s="89"/>
      <c r="F54" s="89"/>
      <c r="G54" s="89"/>
      <c r="H54" s="89"/>
      <c r="I54" s="89"/>
      <c r="J54" s="89"/>
      <c r="K54" s="89"/>
      <c r="L54" s="89"/>
      <c r="M54" s="89"/>
      <c r="N54" s="89"/>
      <c r="O54" s="89"/>
      <c r="P54" s="89"/>
      <c r="Q54" s="89"/>
      <c r="R54" s="89"/>
      <c r="S54" s="89"/>
      <c r="T54" s="89"/>
      <c r="U54" s="89"/>
      <c r="V54" s="89"/>
    </row>
    <row r="55" spans="2:22" ht="15" x14ac:dyDescent="0.25">
      <c r="B55" s="92"/>
      <c r="D55" s="130" t="s">
        <v>62</v>
      </c>
      <c r="E55" s="130"/>
      <c r="F55" s="130"/>
      <c r="G55" s="130"/>
      <c r="H55" s="130"/>
      <c r="I55" s="130"/>
      <c r="J55" s="130"/>
      <c r="K55" s="130"/>
      <c r="L55" s="130"/>
      <c r="M55" s="130"/>
      <c r="N55" s="89"/>
      <c r="O55" s="89"/>
      <c r="P55" s="89"/>
      <c r="Q55" s="89"/>
      <c r="R55" s="89"/>
      <c r="S55" s="89"/>
      <c r="T55" s="89"/>
      <c r="U55" s="89"/>
      <c r="V55" s="89"/>
    </row>
    <row r="56" spans="2:22" ht="15" x14ac:dyDescent="0.25">
      <c r="D56" s="89" t="s">
        <v>41</v>
      </c>
      <c r="E56" s="89"/>
      <c r="F56" s="89"/>
      <c r="G56" s="89"/>
      <c r="H56" s="89"/>
      <c r="I56" s="89"/>
      <c r="J56" s="89"/>
      <c r="K56" s="89"/>
      <c r="L56" s="89"/>
      <c r="M56" s="89"/>
      <c r="N56" s="89"/>
      <c r="O56" s="89"/>
      <c r="P56" s="89"/>
      <c r="Q56" s="89"/>
      <c r="R56" s="89"/>
      <c r="S56" s="89"/>
      <c r="T56" s="89"/>
      <c r="U56" s="89"/>
      <c r="V56" s="89"/>
    </row>
    <row r="57" spans="2:22" ht="15" x14ac:dyDescent="0.25">
      <c r="C57" s="89"/>
      <c r="D57" s="89"/>
      <c r="E57" s="89"/>
      <c r="F57" s="89"/>
      <c r="G57" s="89"/>
      <c r="H57" s="89"/>
      <c r="I57" s="89"/>
      <c r="J57" s="89"/>
      <c r="K57" s="89"/>
      <c r="L57" s="89"/>
      <c r="M57" s="89"/>
      <c r="N57" s="89"/>
      <c r="O57" s="89"/>
      <c r="P57" s="89"/>
      <c r="Q57" s="89"/>
      <c r="R57" s="89"/>
      <c r="S57" s="89"/>
      <c r="T57" s="89"/>
      <c r="U57" s="89"/>
      <c r="V57" s="89"/>
    </row>
    <row r="58" spans="2:22" ht="31.5" customHeight="1" thickBot="1" x14ac:dyDescent="0.35">
      <c r="B58" s="644" t="s">
        <v>63</v>
      </c>
      <c r="C58" s="644"/>
      <c r="D58" s="644"/>
      <c r="E58" s="644"/>
      <c r="F58" s="644"/>
      <c r="G58" s="644"/>
      <c r="H58" s="644"/>
      <c r="I58" s="644"/>
      <c r="J58" s="644"/>
      <c r="K58" s="644"/>
      <c r="L58" s="644"/>
      <c r="M58" s="644"/>
      <c r="N58" s="644"/>
      <c r="O58" s="644"/>
      <c r="P58" s="644"/>
    </row>
    <row r="59" spans="2:22" ht="35.25" customHeight="1" thickTop="1" x14ac:dyDescent="0.25">
      <c r="B59" s="93" t="s">
        <v>64</v>
      </c>
      <c r="C59" s="112" t="s">
        <v>65</v>
      </c>
      <c r="D59" s="112"/>
      <c r="E59" s="112"/>
      <c r="F59" s="112"/>
      <c r="G59" s="112"/>
      <c r="H59" s="89"/>
      <c r="I59" s="89"/>
      <c r="J59" s="89"/>
      <c r="K59" s="89"/>
      <c r="L59" s="89"/>
    </row>
    <row r="60" spans="2:22" ht="18.75" customHeight="1" x14ac:dyDescent="0.25">
      <c r="C60" s="89" t="s">
        <v>66</v>
      </c>
      <c r="D60" s="89"/>
      <c r="E60" s="89"/>
      <c r="F60" s="89"/>
    </row>
    <row r="61" spans="2:22" ht="15" x14ac:dyDescent="0.25">
      <c r="C61" s="89" t="s">
        <v>67</v>
      </c>
      <c r="D61" s="89"/>
      <c r="E61" s="89"/>
      <c r="F61" s="89"/>
      <c r="G61" s="89"/>
      <c r="H61" s="89"/>
      <c r="I61" s="89"/>
      <c r="J61" s="89"/>
      <c r="K61" s="89"/>
      <c r="L61" s="89"/>
      <c r="M61" s="89"/>
      <c r="N61" s="89"/>
      <c r="O61" s="89"/>
      <c r="P61" s="89"/>
    </row>
    <row r="62" spans="2:22" ht="15" x14ac:dyDescent="0.25">
      <c r="C62" s="89"/>
      <c r="D62" s="89"/>
      <c r="E62" s="89"/>
      <c r="F62" s="89"/>
      <c r="G62" s="89"/>
      <c r="H62" s="89"/>
      <c r="I62" s="89"/>
      <c r="J62" s="89"/>
      <c r="K62" s="89"/>
      <c r="L62" s="89"/>
      <c r="M62" s="89"/>
      <c r="N62" s="89"/>
      <c r="O62" s="89"/>
      <c r="P62" s="89"/>
    </row>
    <row r="63" spans="2:22" ht="17.25" customHeight="1" x14ac:dyDescent="0.25">
      <c r="B63" s="93" t="s">
        <v>68</v>
      </c>
      <c r="C63" s="89" t="s">
        <v>69</v>
      </c>
      <c r="D63" s="89"/>
      <c r="E63" s="89"/>
      <c r="F63" s="89"/>
      <c r="G63" s="89"/>
      <c r="H63" s="89"/>
      <c r="I63" s="89"/>
      <c r="J63" s="89"/>
      <c r="K63" s="89"/>
      <c r="L63" s="89"/>
      <c r="M63" s="89"/>
    </row>
    <row r="64" spans="2:22" ht="17.25" customHeight="1" x14ac:dyDescent="0.25">
      <c r="B64" s="93"/>
      <c r="C64" s="89" t="s">
        <v>70</v>
      </c>
      <c r="D64" s="89"/>
      <c r="E64" s="89"/>
      <c r="F64" s="89"/>
      <c r="G64" s="89"/>
      <c r="H64" s="89"/>
      <c r="I64" s="89"/>
      <c r="J64" s="89"/>
      <c r="K64" s="89"/>
      <c r="L64" s="89"/>
      <c r="M64" s="89"/>
    </row>
    <row r="65" spans="2:13" ht="17.25" customHeight="1" x14ac:dyDescent="0.25">
      <c r="B65" s="93"/>
      <c r="C65" s="89" t="s">
        <v>71</v>
      </c>
      <c r="D65" s="89"/>
      <c r="E65" s="89"/>
      <c r="F65" s="89"/>
      <c r="G65" s="89"/>
      <c r="H65" s="89"/>
      <c r="I65" s="89"/>
      <c r="J65" s="89"/>
      <c r="K65" s="89"/>
      <c r="L65" s="89"/>
      <c r="M65" s="89"/>
    </row>
    <row r="66" spans="2:13" ht="17.25" customHeight="1" x14ac:dyDescent="0.25">
      <c r="B66" s="93"/>
      <c r="C66" s="89" t="s">
        <v>72</v>
      </c>
      <c r="D66" s="89"/>
      <c r="E66" s="89"/>
      <c r="F66" s="89"/>
      <c r="G66" s="89"/>
      <c r="H66" s="89"/>
      <c r="I66" s="89"/>
      <c r="J66" s="89"/>
      <c r="K66" s="89"/>
      <c r="L66" s="89"/>
      <c r="M66" s="89"/>
    </row>
    <row r="68" spans="2:13" ht="16.5" customHeight="1" thickBot="1" x14ac:dyDescent="0.3">
      <c r="C68" s="619" t="s">
        <v>73</v>
      </c>
      <c r="D68" s="619"/>
      <c r="E68" s="619"/>
      <c r="F68" s="619"/>
      <c r="G68" s="619"/>
    </row>
    <row r="69" spans="2:13" ht="24.75" customHeight="1" x14ac:dyDescent="0.2">
      <c r="C69" s="420" t="s">
        <v>74</v>
      </c>
      <c r="D69" s="645" t="s">
        <v>75</v>
      </c>
      <c r="E69" s="645"/>
      <c r="F69" s="646" t="s">
        <v>76</v>
      </c>
      <c r="G69" s="647"/>
    </row>
    <row r="70" spans="2:13" ht="21" customHeight="1" x14ac:dyDescent="0.25">
      <c r="C70" s="421">
        <v>0</v>
      </c>
      <c r="D70" s="633">
        <v>8.77</v>
      </c>
      <c r="E70" s="633"/>
      <c r="F70" s="641">
        <f>(C70*D70)</f>
        <v>0</v>
      </c>
      <c r="G70" s="641"/>
    </row>
    <row r="71" spans="2:13" ht="15" x14ac:dyDescent="0.25">
      <c r="C71" s="416"/>
      <c r="D71" s="417"/>
      <c r="E71" s="418"/>
      <c r="F71" s="418"/>
      <c r="G71" s="418"/>
    </row>
    <row r="72" spans="2:13" ht="26.25" customHeight="1" thickBot="1" x14ac:dyDescent="0.3">
      <c r="C72" s="619" t="s">
        <v>77</v>
      </c>
      <c r="D72" s="619"/>
      <c r="E72" s="619"/>
      <c r="F72" s="619"/>
      <c r="G72" s="619"/>
    </row>
    <row r="73" spans="2:13" ht="25.5" customHeight="1" x14ac:dyDescent="0.2">
      <c r="C73" s="420" t="s">
        <v>78</v>
      </c>
      <c r="D73" s="622" t="s">
        <v>79</v>
      </c>
      <c r="E73" s="623"/>
      <c r="F73" s="624" t="s">
        <v>76</v>
      </c>
      <c r="G73" s="624"/>
    </row>
    <row r="74" spans="2:13" ht="21" customHeight="1" x14ac:dyDescent="0.25">
      <c r="C74" s="422">
        <v>0</v>
      </c>
      <c r="D74" s="640">
        <v>1520</v>
      </c>
      <c r="E74" s="640"/>
      <c r="F74" s="641" cm="1">
        <f t="array" ref="F74">_xlfn.IFS(D74 = 1520, (C74/D74)*8.77, D74=2080, (C74/D74)*12, D74=560, (C74/D74)*3.23)</f>
        <v>0</v>
      </c>
      <c r="G74" s="641"/>
    </row>
    <row r="75" spans="2:13" ht="15.75" thickBot="1" x14ac:dyDescent="0.3">
      <c r="C75" s="416"/>
      <c r="D75" s="419"/>
      <c r="E75" s="418"/>
      <c r="F75" s="418"/>
      <c r="G75" s="418"/>
    </row>
    <row r="76" spans="2:13" ht="26.25" hidden="1" customHeight="1" outlineLevel="1" thickBot="1" x14ac:dyDescent="0.3">
      <c r="C76" s="619" t="s">
        <v>80</v>
      </c>
      <c r="D76" s="619"/>
      <c r="E76" s="619"/>
      <c r="F76" s="619"/>
      <c r="G76" s="619"/>
    </row>
    <row r="77" spans="2:13" ht="26.25" hidden="1" customHeight="1" outlineLevel="1" x14ac:dyDescent="0.2">
      <c r="C77" s="420" t="s">
        <v>78</v>
      </c>
      <c r="D77" s="622" t="s">
        <v>81</v>
      </c>
      <c r="E77" s="623"/>
      <c r="F77" s="624" t="s">
        <v>76</v>
      </c>
      <c r="G77" s="624"/>
    </row>
    <row r="78" spans="2:13" ht="26.25" hidden="1" customHeight="1" outlineLevel="1" x14ac:dyDescent="0.25">
      <c r="C78" s="422">
        <v>0</v>
      </c>
      <c r="D78" s="633">
        <v>38</v>
      </c>
      <c r="E78" s="633"/>
      <c r="F78" s="634" cm="1">
        <f t="array" ref="F78">_xlfn.IFS(D78 = 38, (C78/D78)*8.77, D78=52, (C78/D78)*12, D78=14, (C78/D78)*3.23)</f>
        <v>0</v>
      </c>
      <c r="G78" s="634"/>
    </row>
    <row r="79" spans="2:13" ht="16.5" hidden="1" customHeight="1" outlineLevel="1" x14ac:dyDescent="0.2">
      <c r="C79" s="7"/>
      <c r="D79" s="7"/>
      <c r="E79" s="7"/>
      <c r="F79" s="7"/>
      <c r="G79" s="7"/>
    </row>
    <row r="80" spans="2:13" ht="16.5" hidden="1" customHeight="1" outlineLevel="1" thickBot="1" x14ac:dyDescent="0.3">
      <c r="C80" s="619" t="s">
        <v>82</v>
      </c>
      <c r="D80" s="619"/>
      <c r="E80" s="619"/>
      <c r="F80" s="619"/>
      <c r="G80" s="619"/>
    </row>
    <row r="81" spans="3:8" ht="24" hidden="1" outlineLevel="1" x14ac:dyDescent="0.2">
      <c r="C81" s="420" t="s">
        <v>78</v>
      </c>
      <c r="D81" s="622" t="s">
        <v>83</v>
      </c>
      <c r="E81" s="623"/>
      <c r="F81" s="624" t="s">
        <v>76</v>
      </c>
      <c r="G81" s="624"/>
    </row>
    <row r="82" spans="3:8" ht="21" hidden="1" customHeight="1" outlineLevel="1" x14ac:dyDescent="0.2">
      <c r="C82" s="423">
        <v>0</v>
      </c>
      <c r="D82" s="625">
        <v>190</v>
      </c>
      <c r="E82" s="625"/>
      <c r="F82" s="626" cm="1">
        <f t="array" ref="F82">_xlfn.IFS(D82 = 190, (C82/D82)*8.77, D82=260, (C82/D82)*12, D82=70, (C82/D82)*3.23)</f>
        <v>0</v>
      </c>
      <c r="G82" s="626"/>
    </row>
    <row r="83" spans="3:8" ht="12" hidden="1" customHeight="1" outlineLevel="1" x14ac:dyDescent="0.2">
      <c r="C83" s="415"/>
      <c r="D83" s="415"/>
      <c r="E83" s="415"/>
      <c r="F83" s="415"/>
      <c r="G83" s="415"/>
    </row>
    <row r="84" spans="3:8" ht="16.5" hidden="1" outlineLevel="1" thickBot="1" x14ac:dyDescent="0.3">
      <c r="C84" s="619" t="s">
        <v>84</v>
      </c>
      <c r="D84" s="619"/>
      <c r="E84" s="619"/>
      <c r="F84" s="619"/>
      <c r="G84" s="619"/>
    </row>
    <row r="85" spans="3:8" ht="30" hidden="1" customHeight="1" outlineLevel="1" x14ac:dyDescent="0.2">
      <c r="C85" s="424" t="s">
        <v>74</v>
      </c>
      <c r="D85" s="424" t="s">
        <v>85</v>
      </c>
      <c r="E85" s="620" t="s">
        <v>75</v>
      </c>
      <c r="F85" s="620"/>
      <c r="G85" s="428" t="s">
        <v>86</v>
      </c>
    </row>
    <row r="86" spans="3:8" ht="21.75" hidden="1" customHeight="1" outlineLevel="1" x14ac:dyDescent="0.2">
      <c r="C86" s="429">
        <v>0</v>
      </c>
      <c r="D86" s="430">
        <v>0</v>
      </c>
      <c r="E86" s="621">
        <v>8.77</v>
      </c>
      <c r="F86" s="621"/>
      <c r="G86" s="495">
        <f>E86*D86*C86</f>
        <v>0</v>
      </c>
    </row>
    <row r="87" spans="3:8" ht="12" hidden="1" customHeight="1" outlineLevel="1" x14ac:dyDescent="0.2">
      <c r="C87" s="491"/>
      <c r="D87" s="492"/>
      <c r="E87" s="493"/>
      <c r="F87" s="493"/>
      <c r="G87" s="494"/>
    </row>
    <row r="88" spans="3:8" ht="21.75" hidden="1" customHeight="1" outlineLevel="1" thickBot="1" x14ac:dyDescent="0.3">
      <c r="C88" s="619" t="s">
        <v>87</v>
      </c>
      <c r="D88" s="619"/>
      <c r="E88" s="619"/>
      <c r="F88" s="619"/>
      <c r="G88" s="619"/>
    </row>
    <row r="89" spans="3:8" ht="12.75" hidden="1" customHeight="1" outlineLevel="1" x14ac:dyDescent="0.2">
      <c r="C89" s="424" t="s">
        <v>88</v>
      </c>
      <c r="D89" s="424" t="s">
        <v>89</v>
      </c>
      <c r="E89" s="627" t="s">
        <v>90</v>
      </c>
      <c r="F89" s="628"/>
      <c r="G89" s="629"/>
    </row>
    <row r="90" spans="3:8" ht="30" hidden="1" customHeight="1" outlineLevel="1" x14ac:dyDescent="0.2">
      <c r="C90" s="496">
        <v>0</v>
      </c>
      <c r="D90" s="500">
        <v>8.77</v>
      </c>
      <c r="E90" s="630">
        <f>(C90/D90)*12</f>
        <v>0</v>
      </c>
      <c r="F90" s="631"/>
      <c r="G90" s="632"/>
    </row>
    <row r="91" spans="3:8" ht="30" hidden="1" customHeight="1" outlineLevel="1" thickBot="1" x14ac:dyDescent="0.25">
      <c r="C91" s="497"/>
      <c r="D91" s="498"/>
      <c r="E91" s="499"/>
      <c r="F91" s="499"/>
      <c r="G91" s="499"/>
    </row>
    <row r="92" spans="3:8" ht="13.5" customHeight="1" collapsed="1" x14ac:dyDescent="0.25">
      <c r="C92" s="616" t="s">
        <v>91</v>
      </c>
      <c r="D92" s="617"/>
      <c r="E92" s="617"/>
      <c r="F92" s="617"/>
      <c r="G92" s="618"/>
    </row>
    <row r="93" spans="3:8" ht="15" x14ac:dyDescent="0.25">
      <c r="C93" s="107"/>
      <c r="D93" s="113" t="s">
        <v>92</v>
      </c>
      <c r="E93" s="426" t="s">
        <v>93</v>
      </c>
      <c r="F93" s="426" t="s">
        <v>94</v>
      </c>
      <c r="G93" s="114" t="s">
        <v>95</v>
      </c>
    </row>
    <row r="94" spans="3:8" ht="15" x14ac:dyDescent="0.25">
      <c r="C94" s="101" t="s">
        <v>96</v>
      </c>
      <c r="D94" s="102">
        <v>8.77</v>
      </c>
      <c r="E94" s="102">
        <v>38</v>
      </c>
      <c r="F94" s="102">
        <v>190</v>
      </c>
      <c r="G94" s="103">
        <v>1520</v>
      </c>
    </row>
    <row r="95" spans="3:8" ht="15" x14ac:dyDescent="0.25">
      <c r="C95" s="104" t="s">
        <v>97</v>
      </c>
      <c r="D95" s="105">
        <v>3.23</v>
      </c>
      <c r="E95" s="105">
        <v>14</v>
      </c>
      <c r="F95" s="105">
        <v>70</v>
      </c>
      <c r="G95" s="106">
        <v>560</v>
      </c>
      <c r="H95" s="427"/>
    </row>
    <row r="96" spans="3:8" ht="30.75" thickBot="1" x14ac:dyDescent="0.3">
      <c r="C96" s="108" t="s">
        <v>98</v>
      </c>
      <c r="D96" s="109">
        <v>12</v>
      </c>
      <c r="E96" s="109">
        <v>52</v>
      </c>
      <c r="F96" s="109">
        <v>260</v>
      </c>
      <c r="G96" s="110">
        <v>2080</v>
      </c>
      <c r="H96" s="142"/>
    </row>
    <row r="97" spans="3:8" ht="15" x14ac:dyDescent="0.25">
      <c r="C97" s="142"/>
      <c r="D97" s="139"/>
      <c r="E97" s="143"/>
      <c r="F97" s="144"/>
      <c r="G97" s="145"/>
      <c r="H97" s="145"/>
    </row>
    <row r="98" spans="3:8" ht="15" x14ac:dyDescent="0.25">
      <c r="C98" s="142"/>
      <c r="D98" s="139"/>
      <c r="E98" s="143"/>
      <c r="F98" s="144"/>
      <c r="G98" s="145"/>
      <c r="H98" s="145"/>
    </row>
    <row r="99" spans="3:8" ht="15" x14ac:dyDescent="0.25">
      <c r="C99" s="142"/>
      <c r="D99" s="139"/>
      <c r="E99" s="143"/>
      <c r="F99" s="144"/>
      <c r="G99" s="145"/>
      <c r="H99" s="145"/>
    </row>
    <row r="100" spans="3:8" ht="15" x14ac:dyDescent="0.25">
      <c r="C100" s="142"/>
      <c r="D100" s="139"/>
      <c r="E100" s="143"/>
      <c r="F100" s="144"/>
      <c r="G100" s="146"/>
      <c r="H100" s="147"/>
    </row>
    <row r="101" spans="3:8" ht="15" x14ac:dyDescent="0.25">
      <c r="C101" s="142"/>
      <c r="D101" s="139"/>
      <c r="E101" s="143"/>
      <c r="F101" s="144"/>
      <c r="G101" s="145"/>
      <c r="H101" s="147"/>
    </row>
  </sheetData>
  <mergeCells count="37">
    <mergeCell ref="C72:G72"/>
    <mergeCell ref="B1:P3"/>
    <mergeCell ref="C76:G76"/>
    <mergeCell ref="C68:G68"/>
    <mergeCell ref="B58:P58"/>
    <mergeCell ref="B37:P37"/>
    <mergeCell ref="B21:P21"/>
    <mergeCell ref="D69:E69"/>
    <mergeCell ref="F69:G69"/>
    <mergeCell ref="D77:E77"/>
    <mergeCell ref="F77:G77"/>
    <mergeCell ref="D78:E78"/>
    <mergeCell ref="F78:G78"/>
    <mergeCell ref="B5:C5"/>
    <mergeCell ref="B7:C7"/>
    <mergeCell ref="B11:C11"/>
    <mergeCell ref="B15:C15"/>
    <mergeCell ref="B13:C13"/>
    <mergeCell ref="D73:E73"/>
    <mergeCell ref="F73:G73"/>
    <mergeCell ref="D74:E74"/>
    <mergeCell ref="F74:G74"/>
    <mergeCell ref="B17:C17"/>
    <mergeCell ref="D70:E70"/>
    <mergeCell ref="F70:G70"/>
    <mergeCell ref="C92:G92"/>
    <mergeCell ref="C84:G84"/>
    <mergeCell ref="E85:F85"/>
    <mergeCell ref="E86:F86"/>
    <mergeCell ref="C80:G80"/>
    <mergeCell ref="D81:E81"/>
    <mergeCell ref="F81:G81"/>
    <mergeCell ref="D82:E82"/>
    <mergeCell ref="F82:G82"/>
    <mergeCell ref="C88:G88"/>
    <mergeCell ref="E89:G89"/>
    <mergeCell ref="E90:G90"/>
  </mergeCells>
  <dataValidations disablePrompts="1" count="4">
    <dataValidation type="list" allowBlank="1" showInputMessage="1" showErrorMessage="1" sqref="D82:E82" xr:uid="{9E13CB44-D68D-40CA-92C2-CEA7A0B3C725}">
      <formula1>"190, 70, 260"</formula1>
    </dataValidation>
    <dataValidation type="list" allowBlank="1" showInputMessage="1" showErrorMessage="1" sqref="D78:E78" xr:uid="{26D8ED6E-07E4-431B-BC50-0351ABAE9646}">
      <formula1>"38, 14, 52"</formula1>
    </dataValidation>
    <dataValidation type="list" allowBlank="1" showInputMessage="1" showErrorMessage="1" sqref="D74:E74" xr:uid="{F304436B-D9E7-4EBF-BFF7-72CED556EF4C}">
      <formula1>"1520, 560, 2080"</formula1>
    </dataValidation>
    <dataValidation type="list" allowBlank="1" showInputMessage="1" showErrorMessage="1" sqref="D70:E70 E86:F87" xr:uid="{A40AD7F1-2712-4BEA-B747-62D56469BA25}">
      <formula1>"8.77, 3.23, 12"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pageSetUpPr fitToPage="1"/>
  </sheetPr>
  <dimension ref="A2:CG215"/>
  <sheetViews>
    <sheetView showGridLines="0" zoomScale="70" zoomScaleNormal="70" zoomScaleSheetLayoutView="80" workbookViewId="0">
      <selection activeCell="AD205" sqref="AD205:AM205"/>
    </sheetView>
  </sheetViews>
  <sheetFormatPr defaultColWidth="8.7109375" defaultRowHeight="25.5" customHeight="1" outlineLevelRow="1" outlineLevelCol="2" x14ac:dyDescent="0.2"/>
  <cols>
    <col min="1" max="1" width="1.85546875" style="7" customWidth="1"/>
    <col min="2" max="2" width="5.140625" style="7" customWidth="1"/>
    <col min="3" max="3" width="26.85546875" style="7" customWidth="1"/>
    <col min="4" max="4" width="21.85546875" style="7" customWidth="1"/>
    <col min="5" max="5" width="19.5703125" style="7" customWidth="1"/>
    <col min="6" max="6" width="14.85546875" style="7" customWidth="1"/>
    <col min="7" max="7" width="12.28515625" style="7" bestFit="1" customWidth="1"/>
    <col min="8" max="8" width="13.5703125" style="7" customWidth="1"/>
    <col min="9" max="16" width="12.42578125" style="7" customWidth="1"/>
    <col min="17" max="17" width="9.5703125" style="7" customWidth="1"/>
    <col min="18" max="18" width="20.28515625" style="7" hidden="1" customWidth="1" outlineLevel="1"/>
    <col min="19" max="19" width="11.28515625" style="7" hidden="1" customWidth="1" outlineLevel="1"/>
    <col min="20" max="20" width="11.7109375" style="7" hidden="1" customWidth="1" outlineLevel="1"/>
    <col min="21" max="21" width="9.85546875" style="7" hidden="1" customWidth="1" outlineLevel="1"/>
    <col min="22" max="22" width="10.85546875" style="7" hidden="1" customWidth="1" outlineLevel="1"/>
    <col min="23" max="28" width="7.85546875" style="7" hidden="1" customWidth="1" outlineLevel="1"/>
    <col min="29" max="29" width="7.85546875" style="7" customWidth="1" collapsed="1"/>
    <col min="30" max="39" width="16" style="21" customWidth="1"/>
    <col min="40" max="40" width="17.5703125" style="21" customWidth="1"/>
    <col min="41" max="41" width="22.5703125" style="7" hidden="1" customWidth="1" outlineLevel="1"/>
    <col min="42" max="50" width="17.28515625" style="7" hidden="1" customWidth="1" outlineLevel="1"/>
    <col min="51" max="51" width="18.28515625" style="7" hidden="1" customWidth="1" outlineLevel="1"/>
    <col min="52" max="52" width="20.85546875" style="7" hidden="1" customWidth="1" outlineLevel="1"/>
    <col min="53" max="53" width="24.28515625" hidden="1" customWidth="1" outlineLevel="1"/>
    <col min="54" max="54" width="22.7109375" hidden="1" customWidth="1" outlineLevel="1"/>
    <col min="55" max="56" width="18.42578125" hidden="1" customWidth="1" outlineLevel="1"/>
    <col min="57" max="57" width="16.85546875" hidden="1" customWidth="1" outlineLevel="1"/>
    <col min="58" max="63" width="13.5703125" hidden="1" customWidth="1" outlineLevel="1"/>
    <col min="64" max="64" width="14" hidden="1" customWidth="1" outlineLevel="1"/>
    <col min="65" max="65" width="11" hidden="1" customWidth="1" outlineLevel="1"/>
    <col min="66" max="66" width="14.5703125" hidden="1" customWidth="1" outlineLevel="1"/>
    <col min="67" max="67" width="22" hidden="1" customWidth="1" outlineLevel="1"/>
    <col min="68" max="68" width="20.28515625" hidden="1" customWidth="1" outlineLevel="1"/>
    <col min="69" max="69" width="25.28515625" hidden="1" customWidth="1" outlineLevel="1"/>
    <col min="70" max="70" width="18" hidden="1" customWidth="1" outlineLevel="1"/>
    <col min="71" max="71" width="2.42578125" style="7" hidden="1" customWidth="1" outlineLevel="1"/>
    <col min="72" max="81" width="13.7109375" style="7" hidden="1" customWidth="1" outlineLevel="2"/>
    <col min="82" max="82" width="5.5703125" style="22" hidden="1" customWidth="1" outlineLevel="1" collapsed="1"/>
    <col min="83" max="83" width="46.140625" style="7" customWidth="1" collapsed="1"/>
    <col min="84" max="16384" width="8.7109375" style="7"/>
  </cols>
  <sheetData>
    <row r="2" spans="2:83" ht="41.25" customHeight="1" x14ac:dyDescent="0.4">
      <c r="B2" s="809" t="s">
        <v>99</v>
      </c>
      <c r="C2" s="809"/>
      <c r="D2" s="809"/>
      <c r="E2" s="809"/>
      <c r="G2" s="20">
        <v>0</v>
      </c>
      <c r="H2" s="20">
        <v>1</v>
      </c>
      <c r="I2" s="20">
        <v>2</v>
      </c>
      <c r="J2" s="20">
        <v>3</v>
      </c>
      <c r="K2" s="20">
        <v>4</v>
      </c>
      <c r="L2" s="20">
        <v>5</v>
      </c>
      <c r="M2" s="20">
        <v>6</v>
      </c>
      <c r="N2" s="20">
        <v>7</v>
      </c>
      <c r="O2" s="20">
        <v>8</v>
      </c>
      <c r="P2" s="20">
        <v>9</v>
      </c>
      <c r="Q2" s="20"/>
      <c r="R2" s="20"/>
      <c r="S2" s="20"/>
      <c r="T2" s="20"/>
      <c r="U2" s="20"/>
      <c r="V2" s="20"/>
      <c r="W2" s="20"/>
      <c r="X2" s="20"/>
      <c r="Y2" s="20"/>
      <c r="Z2" s="20"/>
      <c r="AA2" s="20"/>
      <c r="AB2" s="20"/>
      <c r="AC2" s="20"/>
      <c r="CE2" s="248" t="s">
        <v>100</v>
      </c>
    </row>
    <row r="3" spans="2:83" ht="31.5" customHeight="1" x14ac:dyDescent="0.3">
      <c r="B3" s="812" t="s">
        <v>101</v>
      </c>
      <c r="C3" s="812"/>
      <c r="D3" s="813"/>
      <c r="E3" s="813"/>
      <c r="F3" s="813"/>
      <c r="G3" s="20"/>
      <c r="H3" s="20"/>
      <c r="I3" s="20"/>
      <c r="J3" s="20"/>
      <c r="K3" s="20"/>
      <c r="L3" s="20"/>
      <c r="M3" s="20"/>
      <c r="N3" s="20"/>
      <c r="O3" s="20"/>
      <c r="P3" s="20"/>
      <c r="Q3" s="20"/>
      <c r="R3" s="20"/>
      <c r="S3" s="20"/>
      <c r="T3" s="20"/>
      <c r="U3" s="20"/>
      <c r="V3" s="20"/>
      <c r="W3" s="20"/>
      <c r="X3" s="20"/>
      <c r="Y3" s="20"/>
      <c r="Z3" s="20"/>
      <c r="AA3" s="20"/>
      <c r="AB3" s="20"/>
      <c r="AC3" s="20"/>
      <c r="AP3" s="24"/>
    </row>
    <row r="4" spans="2:83" ht="31.5" customHeight="1" x14ac:dyDescent="0.3">
      <c r="B4" s="812" t="s">
        <v>102</v>
      </c>
      <c r="C4" s="812"/>
      <c r="D4" s="814"/>
      <c r="E4" s="814"/>
      <c r="F4" s="814"/>
      <c r="G4" s="20"/>
      <c r="H4" s="20"/>
      <c r="I4" s="20"/>
      <c r="J4" s="20"/>
      <c r="K4" s="20"/>
      <c r="L4" s="20"/>
      <c r="M4" s="20"/>
      <c r="N4" s="20"/>
      <c r="O4" s="20"/>
      <c r="P4" s="20"/>
      <c r="Q4" s="20"/>
      <c r="R4" s="20"/>
      <c r="S4" s="20"/>
      <c r="T4" s="20"/>
      <c r="U4" s="20"/>
      <c r="V4" s="20"/>
      <c r="W4" s="20"/>
      <c r="X4" s="20"/>
      <c r="Y4" s="20"/>
      <c r="Z4" s="20"/>
      <c r="AA4" s="20"/>
      <c r="AB4" s="20"/>
      <c r="AC4" s="20"/>
      <c r="AP4" s="24"/>
    </row>
    <row r="5" spans="2:83" ht="31.5" customHeight="1" x14ac:dyDescent="0.3">
      <c r="B5" s="812" t="s">
        <v>103</v>
      </c>
      <c r="C5" s="812"/>
      <c r="D5" s="409"/>
      <c r="E5" s="131" t="s">
        <v>104</v>
      </c>
      <c r="F5" s="409"/>
      <c r="G5" s="7">
        <f>DATEDIF(D5,F5+183,"Y")</f>
        <v>0</v>
      </c>
      <c r="H5" s="117" t="s">
        <v>105</v>
      </c>
      <c r="I5" s="20"/>
      <c r="J5" s="20"/>
      <c r="K5" s="20"/>
      <c r="L5" s="20"/>
      <c r="M5" s="20"/>
      <c r="N5" s="20"/>
      <c r="O5" s="20"/>
      <c r="P5" s="20"/>
      <c r="Q5" s="20"/>
      <c r="R5" s="20"/>
      <c r="S5" s="20"/>
      <c r="T5" s="20"/>
      <c r="U5" s="20"/>
      <c r="V5" s="20"/>
      <c r="W5" s="20"/>
      <c r="X5" s="20"/>
      <c r="Y5" s="20"/>
      <c r="Z5" s="20"/>
      <c r="AA5" s="20"/>
      <c r="AB5" s="20"/>
      <c r="AC5" s="20"/>
      <c r="AP5" s="24"/>
    </row>
    <row r="6" spans="2:83" ht="5.25" customHeight="1" x14ac:dyDescent="0.2"/>
    <row r="7" spans="2:83" ht="4.5" customHeight="1" thickBot="1" x14ac:dyDescent="0.3">
      <c r="B7" s="115"/>
      <c r="C7" s="115"/>
      <c r="D7" s="116"/>
      <c r="E7" s="116"/>
      <c r="F7" s="116"/>
      <c r="G7" s="20"/>
      <c r="H7" s="20"/>
      <c r="I7" s="20"/>
      <c r="J7" s="20"/>
      <c r="K7" s="20"/>
      <c r="L7" s="20"/>
      <c r="M7" s="20"/>
      <c r="N7" s="20"/>
      <c r="O7" s="20"/>
      <c r="P7" s="20"/>
      <c r="Q7" s="20"/>
      <c r="R7" s="20"/>
      <c r="S7" s="20"/>
      <c r="T7" s="20"/>
      <c r="U7" s="20"/>
      <c r="V7" s="20"/>
      <c r="W7" s="20"/>
      <c r="X7" s="20"/>
      <c r="Y7" s="20"/>
      <c r="Z7" s="20"/>
      <c r="AA7" s="20"/>
      <c r="AB7" s="20"/>
      <c r="AC7" s="20"/>
      <c r="AO7" s="23"/>
      <c r="AP7" s="24"/>
    </row>
    <row r="8" spans="2:83" s="24" customFormat="1" ht="53.25" customHeight="1" thickTop="1" x14ac:dyDescent="0.25">
      <c r="B8" s="215"/>
      <c r="C8" s="216"/>
      <c r="D8" s="215"/>
      <c r="E8" s="216"/>
      <c r="F8" s="217"/>
      <c r="G8" s="215"/>
      <c r="H8" s="215"/>
      <c r="I8" s="215"/>
      <c r="J8" s="215"/>
      <c r="K8" s="215"/>
      <c r="L8" s="215"/>
      <c r="M8" s="215"/>
      <c r="N8" s="215"/>
      <c r="O8" s="215"/>
      <c r="P8" s="215"/>
      <c r="Q8" s="215"/>
      <c r="R8" s="215"/>
      <c r="S8" s="215"/>
      <c r="T8" s="215"/>
      <c r="U8" s="215"/>
      <c r="V8" s="215"/>
      <c r="W8" s="215"/>
      <c r="X8" s="215"/>
      <c r="Y8" s="215"/>
      <c r="Z8" s="215"/>
      <c r="AA8" s="215"/>
      <c r="AB8" s="215"/>
      <c r="AC8" s="215"/>
      <c r="AD8" s="218" t="s">
        <v>106</v>
      </c>
      <c r="AE8" s="218" t="s">
        <v>107</v>
      </c>
      <c r="AF8" s="218" t="s">
        <v>108</v>
      </c>
      <c r="AG8" s="218" t="s">
        <v>109</v>
      </c>
      <c r="AH8" s="218" t="s">
        <v>110</v>
      </c>
      <c r="AI8" s="218" t="s">
        <v>111</v>
      </c>
      <c r="AJ8" s="218" t="s">
        <v>112</v>
      </c>
      <c r="AK8" s="218" t="s">
        <v>113</v>
      </c>
      <c r="AL8" s="218" t="s">
        <v>114</v>
      </c>
      <c r="AM8" s="218" t="s">
        <v>115</v>
      </c>
      <c r="AN8" s="219" t="s">
        <v>116</v>
      </c>
      <c r="AO8" s="510" t="s">
        <v>117</v>
      </c>
      <c r="AP8" s="222" t="s">
        <v>106</v>
      </c>
      <c r="AQ8" s="222" t="s">
        <v>107</v>
      </c>
      <c r="AR8" s="223" t="s">
        <v>108</v>
      </c>
      <c r="AS8" s="223" t="s">
        <v>118</v>
      </c>
      <c r="AT8" s="223" t="s">
        <v>110</v>
      </c>
      <c r="AU8" s="223" t="s">
        <v>111</v>
      </c>
      <c r="AV8" s="223" t="s">
        <v>112</v>
      </c>
      <c r="AW8" s="223" t="s">
        <v>113</v>
      </c>
      <c r="AX8" s="223" t="s">
        <v>114</v>
      </c>
      <c r="AY8" s="223" t="s">
        <v>115</v>
      </c>
      <c r="AZ8" s="224" t="s">
        <v>119</v>
      </c>
      <c r="BA8" s="225"/>
      <c r="BB8" s="225"/>
      <c r="BC8" s="225"/>
      <c r="BD8" s="225"/>
      <c r="BE8" s="225"/>
      <c r="BF8" s="225"/>
      <c r="BG8" s="225"/>
      <c r="BH8" s="225"/>
      <c r="BI8" s="225"/>
      <c r="BJ8" s="225"/>
      <c r="BK8" s="225"/>
      <c r="BL8" s="225"/>
      <c r="BM8" s="225"/>
      <c r="BN8" s="225"/>
      <c r="BO8" s="225"/>
      <c r="BP8" s="225"/>
      <c r="BQ8" s="225"/>
      <c r="BR8" s="225"/>
      <c r="BS8" s="226"/>
      <c r="BT8" s="225"/>
      <c r="BU8" s="225"/>
      <c r="BV8" s="225"/>
      <c r="BW8" s="225"/>
      <c r="BX8" s="225"/>
      <c r="BY8" s="225"/>
      <c r="BZ8" s="225"/>
      <c r="CA8" s="225"/>
      <c r="CB8" s="225"/>
      <c r="CC8" s="225"/>
      <c r="CD8" s="227"/>
    </row>
    <row r="9" spans="2:83" ht="55.5" customHeight="1" thickBot="1" x14ac:dyDescent="0.35">
      <c r="B9" s="738" t="s">
        <v>120</v>
      </c>
      <c r="C9" s="738"/>
      <c r="D9" s="738"/>
      <c r="E9" s="738"/>
      <c r="F9" s="738"/>
      <c r="G9" s="738"/>
      <c r="H9" s="738"/>
      <c r="I9" s="738"/>
      <c r="J9" s="220"/>
      <c r="K9" s="220"/>
      <c r="L9" s="220"/>
      <c r="M9" s="220"/>
      <c r="N9" s="220"/>
      <c r="O9" s="220"/>
      <c r="P9" s="220"/>
      <c r="Q9" s="221"/>
      <c r="R9" s="221"/>
      <c r="S9" s="221"/>
      <c r="T9" s="221"/>
      <c r="U9" s="221"/>
      <c r="V9" s="221"/>
      <c r="W9" s="221"/>
      <c r="X9" s="221"/>
      <c r="Y9" s="221"/>
      <c r="Z9" s="221"/>
      <c r="AA9" s="221"/>
      <c r="AB9" s="221"/>
      <c r="AC9" s="221"/>
      <c r="AD9" s="797" t="s">
        <v>121</v>
      </c>
      <c r="AE9" s="797"/>
      <c r="AF9" s="797"/>
      <c r="AG9" s="797"/>
      <c r="AH9" s="797"/>
      <c r="AI9" s="797"/>
      <c r="AJ9" s="797"/>
      <c r="AK9" s="797"/>
      <c r="AL9" s="797"/>
      <c r="AM9" s="797"/>
      <c r="AN9" s="798"/>
      <c r="AO9" s="511"/>
      <c r="AP9" s="672" t="s">
        <v>122</v>
      </c>
      <c r="AQ9" s="672"/>
      <c r="AR9" s="672"/>
      <c r="AS9" s="672"/>
      <c r="AT9" s="672"/>
      <c r="AU9" s="672"/>
      <c r="AV9" s="672"/>
      <c r="AW9" s="672"/>
      <c r="AX9" s="672"/>
      <c r="AY9" s="672"/>
      <c r="AZ9" s="672"/>
      <c r="BA9" s="672"/>
      <c r="BB9" s="672"/>
      <c r="BC9" s="672"/>
      <c r="BD9" s="672"/>
      <c r="BE9" s="672"/>
      <c r="BF9" s="672"/>
      <c r="BG9" s="672"/>
      <c r="BH9" s="672"/>
      <c r="BI9" s="672"/>
      <c r="BJ9" s="672"/>
      <c r="BK9" s="672"/>
      <c r="BL9" s="672"/>
      <c r="BM9" s="672"/>
      <c r="BN9" s="672"/>
      <c r="BO9" s="672"/>
      <c r="BP9" s="282"/>
      <c r="BQ9" s="684" t="s">
        <v>121</v>
      </c>
      <c r="BR9" s="684"/>
      <c r="BS9" s="684"/>
      <c r="BT9" s="684"/>
      <c r="BU9" s="684"/>
      <c r="BV9" s="684"/>
      <c r="BW9" s="684"/>
      <c r="BX9" s="684"/>
      <c r="BY9" s="684"/>
      <c r="BZ9" s="684"/>
      <c r="CA9" s="684"/>
      <c r="CB9" s="684"/>
      <c r="CC9" s="684"/>
      <c r="CD9" s="684"/>
    </row>
    <row r="10" spans="2:83" ht="68.25" customHeight="1" thickTop="1" x14ac:dyDescent="0.25">
      <c r="B10" s="783" t="s">
        <v>123</v>
      </c>
      <c r="C10" s="783"/>
      <c r="D10" s="53" t="s">
        <v>124</v>
      </c>
      <c r="E10" s="59" t="s">
        <v>88</v>
      </c>
      <c r="F10" s="60" t="s">
        <v>125</v>
      </c>
      <c r="G10" s="61" t="s">
        <v>126</v>
      </c>
      <c r="H10" s="61" t="s">
        <v>127</v>
      </c>
      <c r="I10" s="61" t="s">
        <v>128</v>
      </c>
      <c r="J10" s="58" t="s">
        <v>129</v>
      </c>
      <c r="K10" s="58" t="s">
        <v>130</v>
      </c>
      <c r="L10" s="58" t="s">
        <v>131</v>
      </c>
      <c r="M10" s="58" t="s">
        <v>132</v>
      </c>
      <c r="N10" s="58" t="s">
        <v>133</v>
      </c>
      <c r="O10" s="58" t="s">
        <v>134</v>
      </c>
      <c r="P10" s="58" t="s">
        <v>135</v>
      </c>
      <c r="Q10" s="678" t="s">
        <v>136</v>
      </c>
      <c r="R10" s="678"/>
      <c r="S10" s="678"/>
      <c r="T10" s="678"/>
      <c r="U10" s="678"/>
      <c r="V10" s="678"/>
      <c r="W10" s="678"/>
      <c r="X10" s="678"/>
      <c r="Y10" s="678"/>
      <c r="Z10" s="678"/>
      <c r="AA10" s="678"/>
      <c r="AB10" s="678"/>
      <c r="AC10" s="678"/>
      <c r="AD10" s="349" t="s">
        <v>137</v>
      </c>
      <c r="AE10" s="349" t="s">
        <v>138</v>
      </c>
      <c r="AF10" s="349" t="s">
        <v>139</v>
      </c>
      <c r="AG10" s="349" t="s">
        <v>140</v>
      </c>
      <c r="AH10" s="349" t="s">
        <v>141</v>
      </c>
      <c r="AI10" s="349" t="s">
        <v>142</v>
      </c>
      <c r="AJ10" s="349" t="s">
        <v>143</v>
      </c>
      <c r="AK10" s="349" t="s">
        <v>144</v>
      </c>
      <c r="AL10" s="349" t="s">
        <v>145</v>
      </c>
      <c r="AM10" s="349" t="s">
        <v>146</v>
      </c>
      <c r="AN10" s="509" t="s">
        <v>116</v>
      </c>
      <c r="AO10" s="512"/>
      <c r="AP10" s="54" t="s">
        <v>137</v>
      </c>
      <c r="AQ10" s="54" t="s">
        <v>138</v>
      </c>
      <c r="AR10" s="359" t="s">
        <v>139</v>
      </c>
      <c r="AS10" s="359" t="s">
        <v>140</v>
      </c>
      <c r="AT10" s="359" t="s">
        <v>141</v>
      </c>
      <c r="AU10" s="359" t="s">
        <v>142</v>
      </c>
      <c r="AV10" s="359" t="s">
        <v>143</v>
      </c>
      <c r="AW10" s="359" t="s">
        <v>144</v>
      </c>
      <c r="AX10" s="359" t="s">
        <v>145</v>
      </c>
      <c r="AY10" s="359" t="s">
        <v>146</v>
      </c>
      <c r="AZ10" s="353" t="s">
        <v>147</v>
      </c>
      <c r="BA10" s="369"/>
      <c r="BB10" s="58" t="s">
        <v>126</v>
      </c>
      <c r="BC10" s="58" t="s">
        <v>127</v>
      </c>
      <c r="BD10" s="58" t="s">
        <v>128</v>
      </c>
      <c r="BE10" s="58" t="s">
        <v>129</v>
      </c>
      <c r="BF10" s="58" t="s">
        <v>130</v>
      </c>
      <c r="BG10" s="58" t="s">
        <v>131</v>
      </c>
      <c r="BH10" s="58" t="s">
        <v>132</v>
      </c>
      <c r="BI10" s="58" t="s">
        <v>133</v>
      </c>
      <c r="BJ10" s="58" t="s">
        <v>134</v>
      </c>
      <c r="BK10" s="58" t="s">
        <v>135</v>
      </c>
      <c r="BL10" s="691" t="s">
        <v>148</v>
      </c>
      <c r="BM10" s="691"/>
      <c r="BN10" s="665" t="s">
        <v>123</v>
      </c>
      <c r="BO10" s="665"/>
      <c r="BP10" s="53" t="s">
        <v>124</v>
      </c>
      <c r="BQ10" s="59" t="s">
        <v>88</v>
      </c>
      <c r="BR10" s="60" t="s">
        <v>125</v>
      </c>
      <c r="CD10" s="195"/>
    </row>
    <row r="11" spans="2:83" ht="25.5" customHeight="1" x14ac:dyDescent="0.25">
      <c r="B11" s="810"/>
      <c r="C11" s="810"/>
      <c r="D11" s="18" t="s">
        <v>149</v>
      </c>
      <c r="E11" s="249"/>
      <c r="F11" s="201">
        <v>8.77</v>
      </c>
      <c r="G11" s="250"/>
      <c r="H11" s="250"/>
      <c r="I11" s="250"/>
      <c r="J11" s="250"/>
      <c r="K11" s="250"/>
      <c r="L11" s="250"/>
      <c r="M11" s="250"/>
      <c r="N11" s="250"/>
      <c r="O11" s="250"/>
      <c r="P11" s="250"/>
      <c r="Q11" s="679"/>
      <c r="R11" s="679"/>
      <c r="S11" s="679"/>
      <c r="T11" s="679"/>
      <c r="U11" s="679"/>
      <c r="V11" s="679"/>
      <c r="W11" s="679"/>
      <c r="X11" s="679"/>
      <c r="Y11" s="679"/>
      <c r="Z11" s="679"/>
      <c r="AA11" s="679"/>
      <c r="AB11" s="679"/>
      <c r="AC11" s="679"/>
      <c r="AD11" s="26">
        <f t="shared" ref="AD11:AD30" si="0">ROUND($E11/$F11*G11,0)</f>
        <v>0</v>
      </c>
      <c r="AE11" s="26">
        <f t="shared" ref="AE11:AE20" si="1">ROUND($E11*1.03^H$2/$F11*H11,0)</f>
        <v>0</v>
      </c>
      <c r="AF11" s="26">
        <f t="shared" ref="AF11:AF20" si="2">ROUND($E11*1.03^I$2/$F11*I11,0)</f>
        <v>0</v>
      </c>
      <c r="AG11" s="26">
        <f t="shared" ref="AG11:AG20" si="3">ROUND($E11*1.03^J$2/$F11*J11,0)</f>
        <v>0</v>
      </c>
      <c r="AH11" s="26">
        <f t="shared" ref="AH11:AH20" si="4">ROUND($E11*1.03^K$2/$F11*K11,0)</f>
        <v>0</v>
      </c>
      <c r="AI11" s="26">
        <f t="shared" ref="AI11:AI20" si="5">ROUND($E11*1.03^L$2/$F11*L11,0)</f>
        <v>0</v>
      </c>
      <c r="AJ11" s="26">
        <f t="shared" ref="AJ11:AJ20" si="6">ROUND($E11*1.03^M$2/$F11*M11,0)</f>
        <v>0</v>
      </c>
      <c r="AK11" s="26">
        <f t="shared" ref="AK11:AK20" si="7">ROUND($E11*1.03^N$2/$F11*N11,0)</f>
        <v>0</v>
      </c>
      <c r="AL11" s="26">
        <f t="shared" ref="AL11:AL20" si="8">ROUND($E11*1.03^O$2/$F11*O11,0)</f>
        <v>0</v>
      </c>
      <c r="AM11" s="26">
        <f t="shared" ref="AM11:AM20" si="9">ROUND($E11*1.03^P$2/$F11*P11,0)</f>
        <v>0</v>
      </c>
      <c r="AN11" s="68">
        <f>SUM(AD11:AM11)</f>
        <v>0</v>
      </c>
      <c r="AO11" s="514">
        <f t="shared" ref="AO11:AO30" si="10">AN11+$AZ11</f>
        <v>0</v>
      </c>
      <c r="AP11" s="513">
        <f>ROUND($BQ11/BR11*BB11,0)</f>
        <v>0</v>
      </c>
      <c r="AQ11" s="234">
        <f t="shared" ref="AQ11:AQ30" si="11">ROUND(BQ11*1.03^H$2/$BR11*BC11,0)</f>
        <v>0</v>
      </c>
      <c r="AR11" s="234">
        <f t="shared" ref="AR11:AY12" si="12">ROUND($BQ11*1.03^I$2/$BR11*BD11,0)</f>
        <v>0</v>
      </c>
      <c r="AS11" s="234">
        <f t="shared" si="12"/>
        <v>0</v>
      </c>
      <c r="AT11" s="234">
        <f t="shared" si="12"/>
        <v>0</v>
      </c>
      <c r="AU11" s="234">
        <f t="shared" si="12"/>
        <v>0</v>
      </c>
      <c r="AV11" s="234">
        <f t="shared" si="12"/>
        <v>0</v>
      </c>
      <c r="AW11" s="234">
        <f t="shared" si="12"/>
        <v>0</v>
      </c>
      <c r="AX11" s="234">
        <f t="shared" si="12"/>
        <v>0</v>
      </c>
      <c r="AY11" s="234">
        <f t="shared" si="12"/>
        <v>0</v>
      </c>
      <c r="AZ11" s="235">
        <f>SUM(AP11:AY11)</f>
        <v>0</v>
      </c>
      <c r="BA11" s="177"/>
      <c r="BB11" s="251"/>
      <c r="BC11" s="251"/>
      <c r="BD11" s="252"/>
      <c r="BE11" s="252"/>
      <c r="BF11" s="252"/>
      <c r="BG11" s="252"/>
      <c r="BH11" s="252"/>
      <c r="BI11" s="252"/>
      <c r="BJ11" s="252"/>
      <c r="BK11" s="252"/>
      <c r="BL11" s="692"/>
      <c r="BM11" s="692"/>
      <c r="BN11" s="682"/>
      <c r="BO11" s="683"/>
      <c r="BP11" s="320" t="s">
        <v>149</v>
      </c>
      <c r="BQ11" s="317"/>
      <c r="BR11" s="319">
        <v>8.77</v>
      </c>
      <c r="CD11" s="149"/>
    </row>
    <row r="12" spans="2:83" ht="25.5" customHeight="1" thickBot="1" x14ac:dyDescent="0.3">
      <c r="B12" s="810"/>
      <c r="C12" s="810"/>
      <c r="D12" s="18" t="s">
        <v>150</v>
      </c>
      <c r="E12" s="249"/>
      <c r="F12" s="201">
        <v>8.77</v>
      </c>
      <c r="G12" s="250"/>
      <c r="H12" s="250"/>
      <c r="I12" s="250"/>
      <c r="J12" s="250"/>
      <c r="K12" s="250"/>
      <c r="L12" s="250"/>
      <c r="M12" s="250"/>
      <c r="N12" s="250"/>
      <c r="O12" s="250"/>
      <c r="P12" s="250"/>
      <c r="Q12" s="415"/>
      <c r="R12" s="619" t="s">
        <v>73</v>
      </c>
      <c r="S12" s="619"/>
      <c r="T12" s="619"/>
      <c r="U12" s="619"/>
      <c r="V12" s="619"/>
      <c r="W12" s="415"/>
      <c r="X12" s="415"/>
      <c r="Y12" s="415"/>
      <c r="Z12" s="415"/>
      <c r="AA12" s="415"/>
      <c r="AB12" s="415"/>
      <c r="AC12" s="415"/>
      <c r="AD12" s="26">
        <f t="shared" si="0"/>
        <v>0</v>
      </c>
      <c r="AE12" s="26">
        <f t="shared" si="1"/>
        <v>0</v>
      </c>
      <c r="AF12" s="26">
        <f t="shared" si="2"/>
        <v>0</v>
      </c>
      <c r="AG12" s="26">
        <f t="shared" si="3"/>
        <v>0</v>
      </c>
      <c r="AH12" s="26">
        <f t="shared" si="4"/>
        <v>0</v>
      </c>
      <c r="AI12" s="26">
        <f t="shared" si="5"/>
        <v>0</v>
      </c>
      <c r="AJ12" s="26">
        <f t="shared" si="6"/>
        <v>0</v>
      </c>
      <c r="AK12" s="26">
        <f t="shared" si="7"/>
        <v>0</v>
      </c>
      <c r="AL12" s="26">
        <f t="shared" si="8"/>
        <v>0</v>
      </c>
      <c r="AM12" s="26">
        <f t="shared" si="9"/>
        <v>0</v>
      </c>
      <c r="AN12" s="68">
        <f t="shared" ref="AN12:AN30" si="13">SUM(AD12:AM12)</f>
        <v>0</v>
      </c>
      <c r="AO12" s="512">
        <f t="shared" si="10"/>
        <v>0</v>
      </c>
      <c r="AP12" s="513">
        <f t="shared" ref="AP12:AP30" si="14">ROUND($BQ12/BR12*BB12,0)</f>
        <v>0</v>
      </c>
      <c r="AQ12" s="234">
        <f t="shared" si="11"/>
        <v>0</v>
      </c>
      <c r="AR12" s="234">
        <f t="shared" si="12"/>
        <v>0</v>
      </c>
      <c r="AS12" s="234">
        <f t="shared" si="12"/>
        <v>0</v>
      </c>
      <c r="AT12" s="234">
        <f t="shared" si="12"/>
        <v>0</v>
      </c>
      <c r="AU12" s="234">
        <f t="shared" si="12"/>
        <v>0</v>
      </c>
      <c r="AV12" s="234">
        <f t="shared" si="12"/>
        <v>0</v>
      </c>
      <c r="AW12" s="234">
        <f t="shared" si="12"/>
        <v>0</v>
      </c>
      <c r="AX12" s="234">
        <f t="shared" si="12"/>
        <v>0</v>
      </c>
      <c r="AY12" s="234">
        <f t="shared" si="12"/>
        <v>0</v>
      </c>
      <c r="AZ12" s="235">
        <f t="shared" ref="AZ12:AZ30" si="15">SUM(AP12:AY12)</f>
        <v>0</v>
      </c>
      <c r="BA12" s="177"/>
      <c r="BB12" s="250"/>
      <c r="BC12" s="250"/>
      <c r="BD12" s="253"/>
      <c r="BE12" s="253"/>
      <c r="BF12" s="253"/>
      <c r="BG12" s="253"/>
      <c r="BH12" s="253"/>
      <c r="BI12" s="253"/>
      <c r="BJ12" s="253"/>
      <c r="BK12" s="253"/>
      <c r="BL12" s="692"/>
      <c r="BM12" s="692"/>
      <c r="BN12" s="682"/>
      <c r="BO12" s="683"/>
      <c r="BP12" s="320" t="s">
        <v>150</v>
      </c>
      <c r="BQ12" s="317"/>
      <c r="BR12" s="319">
        <v>8.77</v>
      </c>
      <c r="CD12" s="149"/>
    </row>
    <row r="13" spans="2:83" ht="25.5" customHeight="1" x14ac:dyDescent="0.25">
      <c r="B13" s="811"/>
      <c r="C13" s="810"/>
      <c r="D13" s="613" t="s">
        <v>150</v>
      </c>
      <c r="E13" s="249"/>
      <c r="F13" s="201">
        <v>8.77</v>
      </c>
      <c r="G13" s="250"/>
      <c r="H13" s="250"/>
      <c r="I13" s="250"/>
      <c r="J13" s="250"/>
      <c r="K13" s="250"/>
      <c r="L13" s="250"/>
      <c r="M13" s="250"/>
      <c r="N13" s="250"/>
      <c r="O13" s="250"/>
      <c r="P13" s="250"/>
      <c r="Q13" s="415"/>
      <c r="R13" s="420" t="s">
        <v>74</v>
      </c>
      <c r="S13" s="645" t="s">
        <v>75</v>
      </c>
      <c r="T13" s="645"/>
      <c r="U13" s="646" t="s">
        <v>76</v>
      </c>
      <c r="V13" s="647"/>
      <c r="W13" s="415"/>
      <c r="X13" s="415"/>
      <c r="Y13" s="415"/>
      <c r="Z13" s="415"/>
      <c r="AA13" s="415"/>
      <c r="AB13" s="415"/>
      <c r="AC13" s="415"/>
      <c r="AD13" s="26">
        <f t="shared" si="0"/>
        <v>0</v>
      </c>
      <c r="AE13" s="26">
        <f t="shared" si="1"/>
        <v>0</v>
      </c>
      <c r="AF13" s="26">
        <f t="shared" si="2"/>
        <v>0</v>
      </c>
      <c r="AG13" s="26">
        <f t="shared" si="3"/>
        <v>0</v>
      </c>
      <c r="AH13" s="26">
        <f t="shared" si="4"/>
        <v>0</v>
      </c>
      <c r="AI13" s="26">
        <f t="shared" si="5"/>
        <v>0</v>
      </c>
      <c r="AJ13" s="26">
        <f t="shared" si="6"/>
        <v>0</v>
      </c>
      <c r="AK13" s="26">
        <f t="shared" si="7"/>
        <v>0</v>
      </c>
      <c r="AL13" s="26">
        <f t="shared" si="8"/>
        <v>0</v>
      </c>
      <c r="AM13" s="26">
        <f t="shared" si="9"/>
        <v>0</v>
      </c>
      <c r="AN13" s="68">
        <f t="shared" si="13"/>
        <v>0</v>
      </c>
      <c r="AO13" s="512">
        <f t="shared" si="10"/>
        <v>0</v>
      </c>
      <c r="AP13" s="513">
        <f>ROUND($BQ13/BR13*BB13,0)</f>
        <v>0</v>
      </c>
      <c r="AQ13" s="234">
        <f t="shared" si="11"/>
        <v>0</v>
      </c>
      <c r="AR13" s="234">
        <f>ROUND($BQ13*1.03^I$2/$BR13*BD13,0)</f>
        <v>0</v>
      </c>
      <c r="AS13" s="234">
        <f t="shared" ref="AS13:AS30" si="16">ROUND($BQ13*1.03^J$2/$BR13*BE13,0)</f>
        <v>0</v>
      </c>
      <c r="AT13" s="234">
        <f t="shared" ref="AT13:AT30" si="17">ROUND($BQ13*1.03^K$2/$BR13*BF13,0)</f>
        <v>0</v>
      </c>
      <c r="AU13" s="234">
        <f t="shared" ref="AU13:AU30" si="18">ROUND($BQ13*1.03^L$2/$BR13*BG13,0)</f>
        <v>0</v>
      </c>
      <c r="AV13" s="234">
        <f t="shared" ref="AV13:AV30" si="19">ROUND($BQ13*1.03^M$2/$BR13*BH13,0)</f>
        <v>0</v>
      </c>
      <c r="AW13" s="234">
        <f t="shared" ref="AW13:AW30" si="20">ROUND($BQ13*1.03^N$2/$BR13*BI13,0)</f>
        <v>0</v>
      </c>
      <c r="AX13" s="234">
        <f t="shared" ref="AX13:AX30" si="21">ROUND($BQ13*1.03^O$2/$BR13*BJ13,0)</f>
        <v>0</v>
      </c>
      <c r="AY13" s="234">
        <f t="shared" ref="AY13:AY30" si="22">ROUND($BQ13*1.03^P$2/$BR13*BK13,0)</f>
        <v>0</v>
      </c>
      <c r="AZ13" s="235">
        <f t="shared" si="15"/>
        <v>0</v>
      </c>
      <c r="BA13" s="177"/>
      <c r="BB13" s="250"/>
      <c r="BC13" s="250"/>
      <c r="BD13" s="253"/>
      <c r="BE13" s="253"/>
      <c r="BF13" s="253"/>
      <c r="BG13" s="253"/>
      <c r="BH13" s="253"/>
      <c r="BI13" s="253"/>
      <c r="BJ13" s="253"/>
      <c r="BK13" s="253"/>
      <c r="BL13" s="692"/>
      <c r="BM13" s="692"/>
      <c r="BN13" s="682"/>
      <c r="BO13" s="683"/>
      <c r="BP13" s="614" t="s">
        <v>150</v>
      </c>
      <c r="BQ13" s="317"/>
      <c r="BR13" s="319">
        <v>8.77</v>
      </c>
      <c r="CD13" s="149"/>
    </row>
    <row r="14" spans="2:83" ht="25.5" customHeight="1" x14ac:dyDescent="0.25">
      <c r="B14" s="680"/>
      <c r="C14" s="681"/>
      <c r="D14" s="613" t="s">
        <v>150</v>
      </c>
      <c r="E14" s="249"/>
      <c r="F14" s="201">
        <v>8.77</v>
      </c>
      <c r="G14" s="250"/>
      <c r="H14" s="250"/>
      <c r="I14" s="250"/>
      <c r="J14" s="250"/>
      <c r="K14" s="250"/>
      <c r="L14" s="250"/>
      <c r="M14" s="250"/>
      <c r="N14" s="250"/>
      <c r="O14" s="250"/>
      <c r="P14" s="250"/>
      <c r="Q14" s="415"/>
      <c r="R14" s="421">
        <v>0</v>
      </c>
      <c r="S14" s="633">
        <v>8.77</v>
      </c>
      <c r="T14" s="633"/>
      <c r="U14" s="641">
        <f>(R14*S14)</f>
        <v>0</v>
      </c>
      <c r="V14" s="641"/>
      <c r="W14" s="415"/>
      <c r="X14" s="415"/>
      <c r="Y14" s="415"/>
      <c r="Z14" s="415"/>
      <c r="AA14" s="415"/>
      <c r="AB14" s="415"/>
      <c r="AC14" s="415"/>
      <c r="AD14" s="26">
        <f t="shared" si="0"/>
        <v>0</v>
      </c>
      <c r="AE14" s="26">
        <f t="shared" si="1"/>
        <v>0</v>
      </c>
      <c r="AF14" s="26">
        <f t="shared" si="2"/>
        <v>0</v>
      </c>
      <c r="AG14" s="26">
        <f t="shared" si="3"/>
        <v>0</v>
      </c>
      <c r="AH14" s="26">
        <f t="shared" si="4"/>
        <v>0</v>
      </c>
      <c r="AI14" s="26">
        <f t="shared" si="5"/>
        <v>0</v>
      </c>
      <c r="AJ14" s="26">
        <f t="shared" si="6"/>
        <v>0</v>
      </c>
      <c r="AK14" s="26">
        <f t="shared" si="7"/>
        <v>0</v>
      </c>
      <c r="AL14" s="26">
        <f t="shared" si="8"/>
        <v>0</v>
      </c>
      <c r="AM14" s="26">
        <f t="shared" si="9"/>
        <v>0</v>
      </c>
      <c r="AN14" s="68">
        <f t="shared" si="13"/>
        <v>0</v>
      </c>
      <c r="AO14" s="512">
        <f t="shared" si="10"/>
        <v>0</v>
      </c>
      <c r="AP14" s="513">
        <f t="shared" ref="AP14:AP27" si="23">ROUND($BQ14/BR14*BB14,0)</f>
        <v>0</v>
      </c>
      <c r="AQ14" s="234">
        <f t="shared" si="11"/>
        <v>0</v>
      </c>
      <c r="AR14" s="234">
        <f t="shared" ref="AR14:AR27" si="24">ROUND($BQ14*1.03^I$2/$BR14*BD14,0)</f>
        <v>0</v>
      </c>
      <c r="AS14" s="234">
        <f t="shared" si="16"/>
        <v>0</v>
      </c>
      <c r="AT14" s="234">
        <f t="shared" si="17"/>
        <v>0</v>
      </c>
      <c r="AU14" s="234">
        <f t="shared" si="18"/>
        <v>0</v>
      </c>
      <c r="AV14" s="234">
        <f t="shared" si="19"/>
        <v>0</v>
      </c>
      <c r="AW14" s="234">
        <f t="shared" si="20"/>
        <v>0</v>
      </c>
      <c r="AX14" s="234">
        <f t="shared" si="21"/>
        <v>0</v>
      </c>
      <c r="AY14" s="234">
        <f t="shared" si="22"/>
        <v>0</v>
      </c>
      <c r="AZ14" s="235">
        <f t="shared" si="15"/>
        <v>0</v>
      </c>
      <c r="BA14" s="177"/>
      <c r="BB14" s="250"/>
      <c r="BC14" s="250"/>
      <c r="BD14" s="253"/>
      <c r="BE14" s="253"/>
      <c r="BF14" s="253"/>
      <c r="BG14" s="253"/>
      <c r="BH14" s="253"/>
      <c r="BI14" s="253"/>
      <c r="BJ14" s="253"/>
      <c r="BK14" s="253"/>
      <c r="BL14" s="692"/>
      <c r="BM14" s="692"/>
      <c r="BN14" s="682"/>
      <c r="BO14" s="683"/>
      <c r="BP14" s="614" t="s">
        <v>151</v>
      </c>
      <c r="BQ14" s="317"/>
      <c r="BR14" s="319">
        <v>8.77</v>
      </c>
      <c r="CD14" s="149"/>
    </row>
    <row r="15" spans="2:83" ht="25.5" customHeight="1" x14ac:dyDescent="0.25">
      <c r="B15" s="680"/>
      <c r="C15" s="681"/>
      <c r="D15" s="613" t="s">
        <v>150</v>
      </c>
      <c r="E15" s="249"/>
      <c r="F15" s="201">
        <v>8.77</v>
      </c>
      <c r="G15" s="250"/>
      <c r="H15" s="250"/>
      <c r="I15" s="250"/>
      <c r="J15" s="250"/>
      <c r="K15" s="250"/>
      <c r="L15" s="250"/>
      <c r="M15" s="250"/>
      <c r="N15" s="250"/>
      <c r="O15" s="250"/>
      <c r="P15" s="250"/>
      <c r="Q15" s="415"/>
      <c r="R15" s="416"/>
      <c r="S15" s="417"/>
      <c r="T15" s="418"/>
      <c r="U15" s="418"/>
      <c r="V15" s="418"/>
      <c r="W15" s="415"/>
      <c r="X15" s="415"/>
      <c r="Y15" s="415"/>
      <c r="Z15" s="415"/>
      <c r="AA15" s="415"/>
      <c r="AB15" s="415"/>
      <c r="AD15" s="26">
        <f t="shared" si="0"/>
        <v>0</v>
      </c>
      <c r="AE15" s="26">
        <f t="shared" si="1"/>
        <v>0</v>
      </c>
      <c r="AF15" s="26">
        <f t="shared" si="2"/>
        <v>0</v>
      </c>
      <c r="AG15" s="26">
        <f t="shared" si="3"/>
        <v>0</v>
      </c>
      <c r="AH15" s="26">
        <f t="shared" si="4"/>
        <v>0</v>
      </c>
      <c r="AI15" s="26">
        <f t="shared" si="5"/>
        <v>0</v>
      </c>
      <c r="AJ15" s="26">
        <f t="shared" si="6"/>
        <v>0</v>
      </c>
      <c r="AK15" s="26">
        <f t="shared" si="7"/>
        <v>0</v>
      </c>
      <c r="AL15" s="26">
        <f t="shared" si="8"/>
        <v>0</v>
      </c>
      <c r="AM15" s="26">
        <f t="shared" si="9"/>
        <v>0</v>
      </c>
      <c r="AN15" s="68">
        <f t="shared" si="13"/>
        <v>0</v>
      </c>
      <c r="AO15" s="512">
        <f t="shared" si="10"/>
        <v>0</v>
      </c>
      <c r="AP15" s="513">
        <f t="shared" si="23"/>
        <v>0</v>
      </c>
      <c r="AQ15" s="234">
        <f t="shared" si="11"/>
        <v>0</v>
      </c>
      <c r="AR15" s="234">
        <f t="shared" si="24"/>
        <v>0</v>
      </c>
      <c r="AS15" s="234">
        <f t="shared" si="16"/>
        <v>0</v>
      </c>
      <c r="AT15" s="234">
        <f t="shared" si="17"/>
        <v>0</v>
      </c>
      <c r="AU15" s="234">
        <f t="shared" si="18"/>
        <v>0</v>
      </c>
      <c r="AV15" s="234">
        <f t="shared" si="19"/>
        <v>0</v>
      </c>
      <c r="AW15" s="234">
        <f t="shared" si="20"/>
        <v>0</v>
      </c>
      <c r="AX15" s="234">
        <f t="shared" si="21"/>
        <v>0</v>
      </c>
      <c r="AY15" s="234">
        <f t="shared" si="22"/>
        <v>0</v>
      </c>
      <c r="AZ15" s="235">
        <f t="shared" si="15"/>
        <v>0</v>
      </c>
      <c r="BA15" s="177"/>
      <c r="BB15" s="250"/>
      <c r="BC15" s="250"/>
      <c r="BD15" s="253"/>
      <c r="BE15" s="253"/>
      <c r="BF15" s="253"/>
      <c r="BG15" s="253"/>
      <c r="BH15" s="253"/>
      <c r="BI15" s="253"/>
      <c r="BJ15" s="253"/>
      <c r="BK15" s="253"/>
      <c r="BL15" s="692"/>
      <c r="BM15" s="692"/>
      <c r="BN15" s="682"/>
      <c r="BO15" s="683"/>
      <c r="BP15" s="614" t="s">
        <v>151</v>
      </c>
      <c r="BQ15" s="317"/>
      <c r="BR15" s="319">
        <v>8.77</v>
      </c>
      <c r="CD15" s="149"/>
    </row>
    <row r="16" spans="2:83" ht="25.5" customHeight="1" thickBot="1" x14ac:dyDescent="0.3">
      <c r="B16" s="680"/>
      <c r="C16" s="681"/>
      <c r="D16" s="613" t="s">
        <v>151</v>
      </c>
      <c r="E16" s="249"/>
      <c r="F16" s="201">
        <v>8.77</v>
      </c>
      <c r="G16" s="250"/>
      <c r="H16" s="250"/>
      <c r="I16" s="250"/>
      <c r="J16" s="250"/>
      <c r="K16" s="250"/>
      <c r="L16" s="250"/>
      <c r="M16" s="250"/>
      <c r="N16" s="250"/>
      <c r="O16" s="250"/>
      <c r="P16" s="250"/>
      <c r="Q16" s="415"/>
      <c r="R16" s="619" t="s">
        <v>77</v>
      </c>
      <c r="S16" s="619"/>
      <c r="T16" s="619"/>
      <c r="U16" s="619"/>
      <c r="V16" s="619"/>
      <c r="W16" s="415"/>
      <c r="X16" s="415"/>
      <c r="Y16" s="415"/>
      <c r="Z16" s="415"/>
      <c r="AA16" s="415"/>
      <c r="AB16" s="415"/>
      <c r="AC16" s="415"/>
      <c r="AD16" s="26">
        <f t="shared" si="0"/>
        <v>0</v>
      </c>
      <c r="AE16" s="26">
        <f t="shared" si="1"/>
        <v>0</v>
      </c>
      <c r="AF16" s="26">
        <f t="shared" si="2"/>
        <v>0</v>
      </c>
      <c r="AG16" s="26">
        <f t="shared" si="3"/>
        <v>0</v>
      </c>
      <c r="AH16" s="26">
        <f t="shared" si="4"/>
        <v>0</v>
      </c>
      <c r="AI16" s="26">
        <f t="shared" si="5"/>
        <v>0</v>
      </c>
      <c r="AJ16" s="26">
        <f t="shared" si="6"/>
        <v>0</v>
      </c>
      <c r="AK16" s="26">
        <f t="shared" si="7"/>
        <v>0</v>
      </c>
      <c r="AL16" s="26">
        <f t="shared" si="8"/>
        <v>0</v>
      </c>
      <c r="AM16" s="26">
        <f t="shared" si="9"/>
        <v>0</v>
      </c>
      <c r="AN16" s="68">
        <f t="shared" si="13"/>
        <v>0</v>
      </c>
      <c r="AO16" s="512">
        <f t="shared" si="10"/>
        <v>0</v>
      </c>
      <c r="AP16" s="513">
        <f t="shared" si="23"/>
        <v>0</v>
      </c>
      <c r="AQ16" s="234">
        <f t="shared" si="11"/>
        <v>0</v>
      </c>
      <c r="AR16" s="234">
        <f t="shared" si="24"/>
        <v>0</v>
      </c>
      <c r="AS16" s="234">
        <f t="shared" si="16"/>
        <v>0</v>
      </c>
      <c r="AT16" s="234">
        <f t="shared" si="17"/>
        <v>0</v>
      </c>
      <c r="AU16" s="234">
        <f t="shared" si="18"/>
        <v>0</v>
      </c>
      <c r="AV16" s="234">
        <f t="shared" si="19"/>
        <v>0</v>
      </c>
      <c r="AW16" s="234">
        <f t="shared" si="20"/>
        <v>0</v>
      </c>
      <c r="AX16" s="234">
        <f t="shared" si="21"/>
        <v>0</v>
      </c>
      <c r="AY16" s="234">
        <f t="shared" si="22"/>
        <v>0</v>
      </c>
      <c r="AZ16" s="235">
        <f t="shared" si="15"/>
        <v>0</v>
      </c>
      <c r="BA16" s="177"/>
      <c r="BB16" s="250"/>
      <c r="BC16" s="250"/>
      <c r="BD16" s="253"/>
      <c r="BE16" s="253"/>
      <c r="BF16" s="253"/>
      <c r="BG16" s="253"/>
      <c r="BH16" s="253"/>
      <c r="BI16" s="253"/>
      <c r="BJ16" s="253"/>
      <c r="BK16" s="253"/>
      <c r="BL16" s="692"/>
      <c r="BM16" s="692"/>
      <c r="BN16" s="682"/>
      <c r="BO16" s="683"/>
      <c r="BP16" s="614" t="s">
        <v>151</v>
      </c>
      <c r="BQ16" s="317"/>
      <c r="BR16" s="319">
        <v>8.77</v>
      </c>
      <c r="CD16" s="149"/>
    </row>
    <row r="17" spans="2:83" ht="25.5" customHeight="1" x14ac:dyDescent="0.25">
      <c r="B17" s="680"/>
      <c r="C17" s="681"/>
      <c r="D17" s="613" t="s">
        <v>151</v>
      </c>
      <c r="E17" s="249"/>
      <c r="F17" s="201">
        <v>8.77</v>
      </c>
      <c r="G17" s="250"/>
      <c r="H17" s="250"/>
      <c r="I17" s="250"/>
      <c r="J17" s="250"/>
      <c r="K17" s="250"/>
      <c r="L17" s="250"/>
      <c r="M17" s="250"/>
      <c r="N17" s="250"/>
      <c r="O17" s="250"/>
      <c r="P17" s="250"/>
      <c r="Q17" s="415"/>
      <c r="R17" s="420" t="s">
        <v>78</v>
      </c>
      <c r="S17" s="622" t="s">
        <v>79</v>
      </c>
      <c r="T17" s="623"/>
      <c r="U17" s="624" t="s">
        <v>76</v>
      </c>
      <c r="V17" s="624"/>
      <c r="W17" s="415"/>
      <c r="X17" s="415"/>
      <c r="Y17" s="415"/>
      <c r="Z17" s="415"/>
      <c r="AA17" s="415"/>
      <c r="AB17" s="415"/>
      <c r="AC17" s="415"/>
      <c r="AD17" s="26">
        <f t="shared" si="0"/>
        <v>0</v>
      </c>
      <c r="AE17" s="26">
        <f t="shared" si="1"/>
        <v>0</v>
      </c>
      <c r="AF17" s="26">
        <f t="shared" si="2"/>
        <v>0</v>
      </c>
      <c r="AG17" s="26">
        <f t="shared" si="3"/>
        <v>0</v>
      </c>
      <c r="AH17" s="26">
        <f t="shared" si="4"/>
        <v>0</v>
      </c>
      <c r="AI17" s="26">
        <f t="shared" si="5"/>
        <v>0</v>
      </c>
      <c r="AJ17" s="26">
        <f t="shared" si="6"/>
        <v>0</v>
      </c>
      <c r="AK17" s="26">
        <f t="shared" si="7"/>
        <v>0</v>
      </c>
      <c r="AL17" s="26">
        <f t="shared" si="8"/>
        <v>0</v>
      </c>
      <c r="AM17" s="26">
        <f t="shared" si="9"/>
        <v>0</v>
      </c>
      <c r="AN17" s="68">
        <f t="shared" si="13"/>
        <v>0</v>
      </c>
      <c r="AO17" s="512">
        <f t="shared" si="10"/>
        <v>0</v>
      </c>
      <c r="AP17" s="513">
        <f t="shared" si="23"/>
        <v>0</v>
      </c>
      <c r="AQ17" s="234">
        <f t="shared" si="11"/>
        <v>0</v>
      </c>
      <c r="AR17" s="234">
        <f t="shared" si="24"/>
        <v>0</v>
      </c>
      <c r="AS17" s="234">
        <f t="shared" si="16"/>
        <v>0</v>
      </c>
      <c r="AT17" s="234">
        <f t="shared" si="17"/>
        <v>0</v>
      </c>
      <c r="AU17" s="234">
        <f t="shared" si="18"/>
        <v>0</v>
      </c>
      <c r="AV17" s="234">
        <f t="shared" si="19"/>
        <v>0</v>
      </c>
      <c r="AW17" s="234">
        <f t="shared" si="20"/>
        <v>0</v>
      </c>
      <c r="AX17" s="234">
        <f t="shared" si="21"/>
        <v>0</v>
      </c>
      <c r="AY17" s="234">
        <f t="shared" si="22"/>
        <v>0</v>
      </c>
      <c r="AZ17" s="235">
        <f t="shared" si="15"/>
        <v>0</v>
      </c>
      <c r="BA17" s="177"/>
      <c r="BB17" s="250"/>
      <c r="BC17" s="250"/>
      <c r="BD17" s="253"/>
      <c r="BE17" s="253"/>
      <c r="BF17" s="253"/>
      <c r="BG17" s="253"/>
      <c r="BH17" s="253"/>
      <c r="BI17" s="253"/>
      <c r="BJ17" s="253"/>
      <c r="BK17" s="253"/>
      <c r="BL17" s="692"/>
      <c r="BM17" s="692"/>
      <c r="BN17" s="682"/>
      <c r="BO17" s="683"/>
      <c r="BP17" s="614" t="s">
        <v>151</v>
      </c>
      <c r="BQ17" s="317"/>
      <c r="BR17" s="319">
        <v>8.77</v>
      </c>
      <c r="CD17" s="149"/>
    </row>
    <row r="18" spans="2:83" ht="25.5" customHeight="1" x14ac:dyDescent="0.25">
      <c r="B18" s="680"/>
      <c r="C18" s="681"/>
      <c r="D18" s="613" t="s">
        <v>151</v>
      </c>
      <c r="E18" s="249"/>
      <c r="F18" s="201">
        <v>8.77</v>
      </c>
      <c r="G18" s="250"/>
      <c r="H18" s="250"/>
      <c r="I18" s="250"/>
      <c r="J18" s="250"/>
      <c r="K18" s="250"/>
      <c r="L18" s="250"/>
      <c r="M18" s="250"/>
      <c r="N18" s="250"/>
      <c r="O18" s="250"/>
      <c r="P18" s="250"/>
      <c r="Q18" s="415"/>
      <c r="R18" s="422">
        <v>0</v>
      </c>
      <c r="S18" s="640">
        <v>1520</v>
      </c>
      <c r="T18" s="640"/>
      <c r="U18" s="641" cm="1">
        <f t="array" ref="U18">_xlfn.IFS(S18 = 1520, (R18/S18)*8.77, S18=2080, (R18/S18)*12, S18=560, (R18/S18)*3.23)</f>
        <v>0</v>
      </c>
      <c r="V18" s="641"/>
      <c r="W18" s="415"/>
      <c r="X18" s="415"/>
      <c r="Y18" s="415"/>
      <c r="Z18" s="415"/>
      <c r="AA18" s="415"/>
      <c r="AB18" s="415"/>
      <c r="AC18" s="415"/>
      <c r="AD18" s="26">
        <f t="shared" si="0"/>
        <v>0</v>
      </c>
      <c r="AE18" s="26">
        <f t="shared" si="1"/>
        <v>0</v>
      </c>
      <c r="AF18" s="26">
        <f t="shared" si="2"/>
        <v>0</v>
      </c>
      <c r="AG18" s="26">
        <f t="shared" si="3"/>
        <v>0</v>
      </c>
      <c r="AH18" s="26">
        <f t="shared" si="4"/>
        <v>0</v>
      </c>
      <c r="AI18" s="26">
        <f t="shared" si="5"/>
        <v>0</v>
      </c>
      <c r="AJ18" s="26">
        <f t="shared" si="6"/>
        <v>0</v>
      </c>
      <c r="AK18" s="26">
        <f t="shared" si="7"/>
        <v>0</v>
      </c>
      <c r="AL18" s="26">
        <f t="shared" si="8"/>
        <v>0</v>
      </c>
      <c r="AM18" s="26">
        <f t="shared" si="9"/>
        <v>0</v>
      </c>
      <c r="AN18" s="68">
        <f t="shared" si="13"/>
        <v>0</v>
      </c>
      <c r="AO18" s="512">
        <f t="shared" si="10"/>
        <v>0</v>
      </c>
      <c r="AP18" s="513">
        <f t="shared" si="23"/>
        <v>0</v>
      </c>
      <c r="AQ18" s="234">
        <f t="shared" si="11"/>
        <v>0</v>
      </c>
      <c r="AR18" s="234">
        <f t="shared" si="24"/>
        <v>0</v>
      </c>
      <c r="AS18" s="234">
        <f t="shared" si="16"/>
        <v>0</v>
      </c>
      <c r="AT18" s="234">
        <f t="shared" si="17"/>
        <v>0</v>
      </c>
      <c r="AU18" s="234">
        <f t="shared" si="18"/>
        <v>0</v>
      </c>
      <c r="AV18" s="234">
        <f t="shared" si="19"/>
        <v>0</v>
      </c>
      <c r="AW18" s="234">
        <f t="shared" si="20"/>
        <v>0</v>
      </c>
      <c r="AX18" s="234">
        <f t="shared" si="21"/>
        <v>0</v>
      </c>
      <c r="AY18" s="234">
        <f t="shared" si="22"/>
        <v>0</v>
      </c>
      <c r="AZ18" s="235">
        <f t="shared" si="15"/>
        <v>0</v>
      </c>
      <c r="BA18" s="177"/>
      <c r="BB18" s="250"/>
      <c r="BC18" s="250"/>
      <c r="BD18" s="253"/>
      <c r="BE18" s="253"/>
      <c r="BF18" s="253"/>
      <c r="BG18" s="253"/>
      <c r="BH18" s="253"/>
      <c r="BI18" s="253"/>
      <c r="BJ18" s="253"/>
      <c r="BK18" s="253"/>
      <c r="BL18" s="692"/>
      <c r="BM18" s="692"/>
      <c r="BN18" s="682"/>
      <c r="BO18" s="683"/>
      <c r="BP18" s="614" t="s">
        <v>151</v>
      </c>
      <c r="BQ18" s="317"/>
      <c r="BR18" s="319">
        <v>8.77</v>
      </c>
      <c r="CD18" s="149"/>
    </row>
    <row r="19" spans="2:83" ht="25.5" customHeight="1" x14ac:dyDescent="0.25">
      <c r="B19" s="680"/>
      <c r="C19" s="681"/>
      <c r="D19" s="613" t="s">
        <v>151</v>
      </c>
      <c r="E19" s="249"/>
      <c r="F19" s="201">
        <v>8.77</v>
      </c>
      <c r="G19" s="250"/>
      <c r="H19" s="250"/>
      <c r="I19" s="250"/>
      <c r="J19" s="250"/>
      <c r="K19" s="250"/>
      <c r="L19" s="250"/>
      <c r="M19" s="250"/>
      <c r="N19" s="250"/>
      <c r="O19" s="250"/>
      <c r="P19" s="250"/>
      <c r="Q19" s="415"/>
      <c r="R19" s="416"/>
      <c r="S19" s="419"/>
      <c r="T19" s="418"/>
      <c r="U19" s="418"/>
      <c r="V19" s="418"/>
      <c r="W19" s="415"/>
      <c r="X19" s="415"/>
      <c r="Y19" s="415"/>
      <c r="Z19" s="415"/>
      <c r="AA19" s="415"/>
      <c r="AB19" s="415"/>
      <c r="AC19" s="415"/>
      <c r="AD19" s="26">
        <f t="shared" si="0"/>
        <v>0</v>
      </c>
      <c r="AE19" s="26">
        <f t="shared" si="1"/>
        <v>0</v>
      </c>
      <c r="AF19" s="26">
        <f t="shared" si="2"/>
        <v>0</v>
      </c>
      <c r="AG19" s="26">
        <f t="shared" si="3"/>
        <v>0</v>
      </c>
      <c r="AH19" s="26">
        <f t="shared" si="4"/>
        <v>0</v>
      </c>
      <c r="AI19" s="26">
        <f t="shared" si="5"/>
        <v>0</v>
      </c>
      <c r="AJ19" s="26">
        <f t="shared" si="6"/>
        <v>0</v>
      </c>
      <c r="AK19" s="26">
        <f t="shared" si="7"/>
        <v>0</v>
      </c>
      <c r="AL19" s="26">
        <f t="shared" si="8"/>
        <v>0</v>
      </c>
      <c r="AM19" s="26">
        <f t="shared" si="9"/>
        <v>0</v>
      </c>
      <c r="AN19" s="68">
        <f t="shared" si="13"/>
        <v>0</v>
      </c>
      <c r="AO19" s="512">
        <f t="shared" si="10"/>
        <v>0</v>
      </c>
      <c r="AP19" s="513">
        <f t="shared" si="23"/>
        <v>0</v>
      </c>
      <c r="AQ19" s="234">
        <f t="shared" si="11"/>
        <v>0</v>
      </c>
      <c r="AR19" s="234">
        <f t="shared" si="24"/>
        <v>0</v>
      </c>
      <c r="AS19" s="234">
        <f t="shared" si="16"/>
        <v>0</v>
      </c>
      <c r="AT19" s="234">
        <f t="shared" si="17"/>
        <v>0</v>
      </c>
      <c r="AU19" s="234">
        <f t="shared" si="18"/>
        <v>0</v>
      </c>
      <c r="AV19" s="234">
        <f t="shared" si="19"/>
        <v>0</v>
      </c>
      <c r="AW19" s="234">
        <f t="shared" si="20"/>
        <v>0</v>
      </c>
      <c r="AX19" s="234">
        <f t="shared" si="21"/>
        <v>0</v>
      </c>
      <c r="AY19" s="234">
        <f t="shared" si="22"/>
        <v>0</v>
      </c>
      <c r="AZ19" s="235">
        <f t="shared" si="15"/>
        <v>0</v>
      </c>
      <c r="BA19" s="177"/>
      <c r="BB19" s="250"/>
      <c r="BC19" s="250"/>
      <c r="BD19" s="253"/>
      <c r="BE19" s="253"/>
      <c r="BF19" s="253"/>
      <c r="BG19" s="253"/>
      <c r="BH19" s="253"/>
      <c r="BI19" s="253"/>
      <c r="BJ19" s="253"/>
      <c r="BK19" s="253"/>
      <c r="BL19" s="692"/>
      <c r="BM19" s="692"/>
      <c r="BN19" s="682"/>
      <c r="BO19" s="683"/>
      <c r="BP19" s="614" t="s">
        <v>151</v>
      </c>
      <c r="BQ19" s="317"/>
      <c r="BR19" s="319">
        <v>8.77</v>
      </c>
      <c r="CD19" s="149"/>
    </row>
    <row r="20" spans="2:83" ht="25.5" customHeight="1" thickBot="1" x14ac:dyDescent="0.3">
      <c r="B20" s="680"/>
      <c r="C20" s="681"/>
      <c r="D20" s="613" t="s">
        <v>151</v>
      </c>
      <c r="E20" s="249"/>
      <c r="F20" s="201">
        <v>8.77</v>
      </c>
      <c r="G20" s="250"/>
      <c r="H20" s="250"/>
      <c r="I20" s="250"/>
      <c r="J20" s="250"/>
      <c r="K20" s="250"/>
      <c r="L20" s="250"/>
      <c r="M20" s="250"/>
      <c r="N20" s="250"/>
      <c r="O20" s="250"/>
      <c r="P20" s="250"/>
      <c r="Q20" s="415"/>
      <c r="R20" s="619" t="s">
        <v>80</v>
      </c>
      <c r="S20" s="619"/>
      <c r="T20" s="619"/>
      <c r="U20" s="619"/>
      <c r="V20" s="619"/>
      <c r="W20" s="415"/>
      <c r="X20" s="415"/>
      <c r="Y20" s="415"/>
      <c r="Z20" s="415"/>
      <c r="AA20" s="415"/>
      <c r="AB20" s="415"/>
      <c r="AC20" s="415"/>
      <c r="AD20" s="26">
        <f t="shared" si="0"/>
        <v>0</v>
      </c>
      <c r="AE20" s="26">
        <f t="shared" si="1"/>
        <v>0</v>
      </c>
      <c r="AF20" s="26">
        <f t="shared" si="2"/>
        <v>0</v>
      </c>
      <c r="AG20" s="26">
        <f t="shared" si="3"/>
        <v>0</v>
      </c>
      <c r="AH20" s="26">
        <f t="shared" si="4"/>
        <v>0</v>
      </c>
      <c r="AI20" s="26">
        <f t="shared" si="5"/>
        <v>0</v>
      </c>
      <c r="AJ20" s="26">
        <f t="shared" si="6"/>
        <v>0</v>
      </c>
      <c r="AK20" s="26">
        <f t="shared" si="7"/>
        <v>0</v>
      </c>
      <c r="AL20" s="26">
        <f t="shared" si="8"/>
        <v>0</v>
      </c>
      <c r="AM20" s="26">
        <f t="shared" si="9"/>
        <v>0</v>
      </c>
      <c r="AN20" s="68">
        <f t="shared" si="13"/>
        <v>0</v>
      </c>
      <c r="AO20" s="514">
        <f t="shared" si="10"/>
        <v>0</v>
      </c>
      <c r="AP20" s="513">
        <f t="shared" si="23"/>
        <v>0</v>
      </c>
      <c r="AQ20" s="234">
        <f t="shared" si="11"/>
        <v>0</v>
      </c>
      <c r="AR20" s="234">
        <f t="shared" si="24"/>
        <v>0</v>
      </c>
      <c r="AS20" s="234">
        <f t="shared" si="16"/>
        <v>0</v>
      </c>
      <c r="AT20" s="234">
        <f t="shared" si="17"/>
        <v>0</v>
      </c>
      <c r="AU20" s="234">
        <f t="shared" si="18"/>
        <v>0</v>
      </c>
      <c r="AV20" s="234">
        <f t="shared" si="19"/>
        <v>0</v>
      </c>
      <c r="AW20" s="234">
        <f t="shared" si="20"/>
        <v>0</v>
      </c>
      <c r="AX20" s="234">
        <f t="shared" si="21"/>
        <v>0</v>
      </c>
      <c r="AY20" s="234">
        <f t="shared" si="22"/>
        <v>0</v>
      </c>
      <c r="AZ20" s="235">
        <f t="shared" si="15"/>
        <v>0</v>
      </c>
      <c r="BA20" s="177"/>
      <c r="BB20" s="250"/>
      <c r="BC20" s="250"/>
      <c r="BD20" s="253"/>
      <c r="BE20" s="253"/>
      <c r="BF20" s="253"/>
      <c r="BG20" s="253"/>
      <c r="BH20" s="253"/>
      <c r="BI20" s="253"/>
      <c r="BJ20" s="253"/>
      <c r="BK20" s="253"/>
      <c r="BL20" s="692"/>
      <c r="BM20" s="692"/>
      <c r="BN20" s="682"/>
      <c r="BO20" s="683"/>
      <c r="BP20" s="614" t="s">
        <v>151</v>
      </c>
      <c r="BQ20" s="317"/>
      <c r="BR20" s="319">
        <v>8.77</v>
      </c>
      <c r="CD20" s="149"/>
    </row>
    <row r="21" spans="2:83" ht="25.5" hidden="1" customHeight="1" outlineLevel="1" x14ac:dyDescent="0.25">
      <c r="B21" s="680"/>
      <c r="C21" s="681"/>
      <c r="D21" s="613" t="s">
        <v>151</v>
      </c>
      <c r="E21" s="249"/>
      <c r="F21" s="201">
        <v>8.77</v>
      </c>
      <c r="G21" s="250"/>
      <c r="H21" s="250"/>
      <c r="I21" s="250"/>
      <c r="J21" s="250"/>
      <c r="K21" s="250"/>
      <c r="L21" s="250"/>
      <c r="M21" s="250"/>
      <c r="N21" s="250"/>
      <c r="O21" s="250"/>
      <c r="P21" s="250"/>
      <c r="Q21" s="415"/>
      <c r="R21" s="420" t="s">
        <v>78</v>
      </c>
      <c r="S21" s="622" t="s">
        <v>81</v>
      </c>
      <c r="T21" s="623"/>
      <c r="U21" s="624" t="s">
        <v>76</v>
      </c>
      <c r="V21" s="624"/>
      <c r="W21" s="415"/>
      <c r="X21" s="415"/>
      <c r="Y21" s="415"/>
      <c r="Z21" s="415"/>
      <c r="AA21" s="415"/>
      <c r="AB21" s="415"/>
      <c r="AC21" s="415"/>
      <c r="AD21" s="26">
        <f t="shared" si="0"/>
        <v>0</v>
      </c>
      <c r="AE21" s="26">
        <f t="shared" ref="AE21:AE30" si="25">ROUND($E21*1.03^H$2/$F21*H21,0)</f>
        <v>0</v>
      </c>
      <c r="AF21" s="26">
        <f t="shared" ref="AF21:AF30" si="26">ROUND($E21*1.03^I$2/$F21*I21,0)</f>
        <v>0</v>
      </c>
      <c r="AG21" s="26">
        <f t="shared" ref="AG21:AG30" si="27">ROUND($E21*1.03^J$2/$F21*J21,0)</f>
        <v>0</v>
      </c>
      <c r="AH21" s="26">
        <f t="shared" ref="AH21:AH30" si="28">ROUND($E21*1.03^K$2/$F21*K21,0)</f>
        <v>0</v>
      </c>
      <c r="AI21" s="26">
        <f t="shared" ref="AI21:AI30" si="29">ROUND($E21*1.03^L$2/$F21*L21,0)</f>
        <v>0</v>
      </c>
      <c r="AJ21" s="26">
        <f t="shared" ref="AJ21:AJ30" si="30">ROUND($E21*1.03^M$2/$F21*M21,0)</f>
        <v>0</v>
      </c>
      <c r="AK21" s="26">
        <f t="shared" ref="AK21:AK30" si="31">ROUND($E21*1.03^N$2/$F21*N21,0)</f>
        <v>0</v>
      </c>
      <c r="AL21" s="26">
        <f t="shared" ref="AL21:AL30" si="32">ROUND($E21*1.03^O$2/$F21*O21,0)</f>
        <v>0</v>
      </c>
      <c r="AM21" s="26">
        <f t="shared" ref="AM21:AM30" si="33">ROUND($E21*1.03^P$2/$F21*P21,0)</f>
        <v>0</v>
      </c>
      <c r="AN21" s="68">
        <f t="shared" si="13"/>
        <v>0</v>
      </c>
      <c r="AO21" s="514">
        <f t="shared" si="10"/>
        <v>0</v>
      </c>
      <c r="AP21" s="513">
        <f t="shared" si="23"/>
        <v>0</v>
      </c>
      <c r="AQ21" s="234">
        <f t="shared" si="11"/>
        <v>0</v>
      </c>
      <c r="AR21" s="234">
        <f t="shared" si="24"/>
        <v>0</v>
      </c>
      <c r="AS21" s="234">
        <f t="shared" si="16"/>
        <v>0</v>
      </c>
      <c r="AT21" s="234">
        <f t="shared" si="17"/>
        <v>0</v>
      </c>
      <c r="AU21" s="234">
        <f t="shared" si="18"/>
        <v>0</v>
      </c>
      <c r="AV21" s="234">
        <f t="shared" si="19"/>
        <v>0</v>
      </c>
      <c r="AW21" s="234">
        <f t="shared" si="20"/>
        <v>0</v>
      </c>
      <c r="AX21" s="234">
        <f t="shared" si="21"/>
        <v>0</v>
      </c>
      <c r="AY21" s="234">
        <f t="shared" si="22"/>
        <v>0</v>
      </c>
      <c r="AZ21" s="235">
        <f t="shared" si="15"/>
        <v>0</v>
      </c>
      <c r="BA21" s="177"/>
      <c r="BB21" s="250"/>
      <c r="BC21" s="250"/>
      <c r="BD21" s="253"/>
      <c r="BE21" s="253"/>
      <c r="BF21" s="253"/>
      <c r="BG21" s="253"/>
      <c r="BH21" s="253"/>
      <c r="BI21" s="253"/>
      <c r="BJ21" s="253"/>
      <c r="BK21" s="253"/>
      <c r="BL21" s="692"/>
      <c r="BM21" s="692"/>
      <c r="BN21" s="682"/>
      <c r="BO21" s="683"/>
      <c r="BP21" s="614" t="s">
        <v>151</v>
      </c>
      <c r="BQ21" s="317"/>
      <c r="BR21" s="319">
        <v>8.77</v>
      </c>
      <c r="CD21" s="149"/>
    </row>
    <row r="22" spans="2:83" ht="25.5" hidden="1" customHeight="1" outlineLevel="1" x14ac:dyDescent="0.25">
      <c r="B22" s="680"/>
      <c r="C22" s="681"/>
      <c r="D22" s="613" t="s">
        <v>151</v>
      </c>
      <c r="E22" s="249"/>
      <c r="F22" s="201">
        <v>8.77</v>
      </c>
      <c r="G22" s="250"/>
      <c r="H22" s="250"/>
      <c r="I22" s="250"/>
      <c r="J22" s="250"/>
      <c r="K22" s="250"/>
      <c r="L22" s="250"/>
      <c r="M22" s="250"/>
      <c r="N22" s="250"/>
      <c r="O22" s="250"/>
      <c r="P22" s="250"/>
      <c r="Q22" s="415"/>
      <c r="R22" s="422">
        <v>0</v>
      </c>
      <c r="S22" s="633">
        <v>38</v>
      </c>
      <c r="T22" s="633"/>
      <c r="U22" s="634" cm="1">
        <f t="array" ref="U22">_xlfn.IFS(S22 = 38, (R22/S22)*8.77, S22=52, (R22/S22)*12, S22=14, (R22/S22)*3.23)</f>
        <v>0</v>
      </c>
      <c r="V22" s="634"/>
      <c r="W22" s="415"/>
      <c r="X22" s="415"/>
      <c r="Y22" s="415"/>
      <c r="Z22" s="415"/>
      <c r="AA22" s="415"/>
      <c r="AB22" s="415"/>
      <c r="AC22" s="415"/>
      <c r="AD22" s="26">
        <f t="shared" si="0"/>
        <v>0</v>
      </c>
      <c r="AE22" s="26">
        <f t="shared" si="25"/>
        <v>0</v>
      </c>
      <c r="AF22" s="26">
        <f t="shared" si="26"/>
        <v>0</v>
      </c>
      <c r="AG22" s="26">
        <f t="shared" si="27"/>
        <v>0</v>
      </c>
      <c r="AH22" s="26">
        <f t="shared" si="28"/>
        <v>0</v>
      </c>
      <c r="AI22" s="26">
        <f t="shared" si="29"/>
        <v>0</v>
      </c>
      <c r="AJ22" s="26">
        <f t="shared" si="30"/>
        <v>0</v>
      </c>
      <c r="AK22" s="26">
        <f t="shared" si="31"/>
        <v>0</v>
      </c>
      <c r="AL22" s="26">
        <f t="shared" si="32"/>
        <v>0</v>
      </c>
      <c r="AM22" s="26">
        <f t="shared" si="33"/>
        <v>0</v>
      </c>
      <c r="AN22" s="68">
        <f t="shared" si="13"/>
        <v>0</v>
      </c>
      <c r="AO22" s="514">
        <f t="shared" si="10"/>
        <v>0</v>
      </c>
      <c r="AP22" s="513">
        <f t="shared" si="23"/>
        <v>0</v>
      </c>
      <c r="AQ22" s="234">
        <f t="shared" si="11"/>
        <v>0</v>
      </c>
      <c r="AR22" s="234">
        <f t="shared" si="24"/>
        <v>0</v>
      </c>
      <c r="AS22" s="234">
        <f t="shared" si="16"/>
        <v>0</v>
      </c>
      <c r="AT22" s="234">
        <f t="shared" si="17"/>
        <v>0</v>
      </c>
      <c r="AU22" s="234">
        <f t="shared" si="18"/>
        <v>0</v>
      </c>
      <c r="AV22" s="234">
        <f t="shared" si="19"/>
        <v>0</v>
      </c>
      <c r="AW22" s="234">
        <f t="shared" si="20"/>
        <v>0</v>
      </c>
      <c r="AX22" s="234">
        <f t="shared" si="21"/>
        <v>0</v>
      </c>
      <c r="AY22" s="234">
        <f t="shared" si="22"/>
        <v>0</v>
      </c>
      <c r="AZ22" s="235">
        <f t="shared" si="15"/>
        <v>0</v>
      </c>
      <c r="BA22" s="177"/>
      <c r="BB22" s="250"/>
      <c r="BC22" s="250"/>
      <c r="BD22" s="253"/>
      <c r="BE22" s="253"/>
      <c r="BF22" s="253"/>
      <c r="BG22" s="253"/>
      <c r="BH22" s="253"/>
      <c r="BI22" s="253"/>
      <c r="BJ22" s="253"/>
      <c r="BK22" s="253"/>
      <c r="BL22" s="692"/>
      <c r="BM22" s="692"/>
      <c r="BN22" s="682"/>
      <c r="BO22" s="683"/>
      <c r="BP22" s="614" t="s">
        <v>151</v>
      </c>
      <c r="BQ22" s="317"/>
      <c r="BR22" s="319">
        <v>8.77</v>
      </c>
      <c r="CD22" s="149"/>
    </row>
    <row r="23" spans="2:83" ht="25.5" hidden="1" customHeight="1" outlineLevel="1" x14ac:dyDescent="0.25">
      <c r="B23" s="680"/>
      <c r="C23" s="681"/>
      <c r="D23" s="613" t="s">
        <v>151</v>
      </c>
      <c r="E23" s="249"/>
      <c r="F23" s="201">
        <v>8.77</v>
      </c>
      <c r="G23" s="250"/>
      <c r="H23" s="250"/>
      <c r="I23" s="250"/>
      <c r="J23" s="250"/>
      <c r="K23" s="250"/>
      <c r="L23" s="250"/>
      <c r="M23" s="250"/>
      <c r="N23" s="250"/>
      <c r="O23" s="250"/>
      <c r="P23" s="250"/>
      <c r="Q23" s="415"/>
      <c r="W23" s="415"/>
      <c r="X23" s="415"/>
      <c r="Y23" s="415"/>
      <c r="Z23" s="415"/>
      <c r="AA23" s="415"/>
      <c r="AB23" s="415"/>
      <c r="AC23" s="415"/>
      <c r="AD23" s="26">
        <f t="shared" si="0"/>
        <v>0</v>
      </c>
      <c r="AE23" s="26">
        <f t="shared" si="25"/>
        <v>0</v>
      </c>
      <c r="AF23" s="26">
        <f t="shared" si="26"/>
        <v>0</v>
      </c>
      <c r="AG23" s="26">
        <f t="shared" si="27"/>
        <v>0</v>
      </c>
      <c r="AH23" s="26">
        <f t="shared" si="28"/>
        <v>0</v>
      </c>
      <c r="AI23" s="26">
        <f t="shared" si="29"/>
        <v>0</v>
      </c>
      <c r="AJ23" s="26">
        <f t="shared" si="30"/>
        <v>0</v>
      </c>
      <c r="AK23" s="26">
        <f t="shared" si="31"/>
        <v>0</v>
      </c>
      <c r="AL23" s="26">
        <f t="shared" si="32"/>
        <v>0</v>
      </c>
      <c r="AM23" s="26">
        <f t="shared" si="33"/>
        <v>0</v>
      </c>
      <c r="AN23" s="68">
        <f t="shared" si="13"/>
        <v>0</v>
      </c>
      <c r="AO23" s="514">
        <f t="shared" si="10"/>
        <v>0</v>
      </c>
      <c r="AP23" s="513">
        <f t="shared" si="23"/>
        <v>0</v>
      </c>
      <c r="AQ23" s="234">
        <f t="shared" si="11"/>
        <v>0</v>
      </c>
      <c r="AR23" s="234">
        <f t="shared" si="24"/>
        <v>0</v>
      </c>
      <c r="AS23" s="234">
        <f t="shared" si="16"/>
        <v>0</v>
      </c>
      <c r="AT23" s="234">
        <f t="shared" si="17"/>
        <v>0</v>
      </c>
      <c r="AU23" s="234">
        <f t="shared" si="18"/>
        <v>0</v>
      </c>
      <c r="AV23" s="234">
        <f t="shared" si="19"/>
        <v>0</v>
      </c>
      <c r="AW23" s="234">
        <f t="shared" si="20"/>
        <v>0</v>
      </c>
      <c r="AX23" s="234">
        <f t="shared" si="21"/>
        <v>0</v>
      </c>
      <c r="AY23" s="234">
        <f t="shared" si="22"/>
        <v>0</v>
      </c>
      <c r="AZ23" s="235">
        <f t="shared" si="15"/>
        <v>0</v>
      </c>
      <c r="BA23" s="177"/>
      <c r="BB23" s="250"/>
      <c r="BC23" s="250"/>
      <c r="BD23" s="253"/>
      <c r="BE23" s="253"/>
      <c r="BF23" s="253"/>
      <c r="BG23" s="253"/>
      <c r="BH23" s="253"/>
      <c r="BI23" s="253"/>
      <c r="BJ23" s="253"/>
      <c r="BK23" s="253"/>
      <c r="BL23" s="692"/>
      <c r="BM23" s="692"/>
      <c r="BN23" s="682"/>
      <c r="BO23" s="683"/>
      <c r="BP23" s="614" t="s">
        <v>151</v>
      </c>
      <c r="BQ23" s="317"/>
      <c r="BR23" s="319">
        <v>8.77</v>
      </c>
      <c r="CD23" s="149"/>
    </row>
    <row r="24" spans="2:83" ht="25.5" hidden="1" customHeight="1" outlineLevel="1" thickBot="1" x14ac:dyDescent="0.3">
      <c r="B24" s="680"/>
      <c r="C24" s="681"/>
      <c r="D24" s="613" t="s">
        <v>151</v>
      </c>
      <c r="E24" s="249"/>
      <c r="F24" s="201">
        <v>8.77</v>
      </c>
      <c r="G24" s="250"/>
      <c r="H24" s="250"/>
      <c r="I24" s="250"/>
      <c r="J24" s="250"/>
      <c r="K24" s="250"/>
      <c r="L24" s="250"/>
      <c r="M24" s="250"/>
      <c r="N24" s="250"/>
      <c r="O24" s="250"/>
      <c r="P24" s="250"/>
      <c r="Q24" s="415"/>
      <c r="R24" s="619" t="s">
        <v>82</v>
      </c>
      <c r="S24" s="619"/>
      <c r="T24" s="619"/>
      <c r="U24" s="619"/>
      <c r="V24" s="619"/>
      <c r="W24" s="415"/>
      <c r="X24" s="415"/>
      <c r="Y24" s="415"/>
      <c r="Z24" s="415"/>
      <c r="AA24" s="415"/>
      <c r="AB24" s="415"/>
      <c r="AC24" s="415"/>
      <c r="AD24" s="26">
        <f t="shared" si="0"/>
        <v>0</v>
      </c>
      <c r="AE24" s="26">
        <f t="shared" si="25"/>
        <v>0</v>
      </c>
      <c r="AF24" s="26">
        <f t="shared" si="26"/>
        <v>0</v>
      </c>
      <c r="AG24" s="26">
        <f t="shared" si="27"/>
        <v>0</v>
      </c>
      <c r="AH24" s="26">
        <f t="shared" si="28"/>
        <v>0</v>
      </c>
      <c r="AI24" s="26">
        <f t="shared" si="29"/>
        <v>0</v>
      </c>
      <c r="AJ24" s="26">
        <f t="shared" si="30"/>
        <v>0</v>
      </c>
      <c r="AK24" s="26">
        <f t="shared" si="31"/>
        <v>0</v>
      </c>
      <c r="AL24" s="26">
        <f t="shared" si="32"/>
        <v>0</v>
      </c>
      <c r="AM24" s="26">
        <f t="shared" si="33"/>
        <v>0</v>
      </c>
      <c r="AN24" s="68">
        <f t="shared" si="13"/>
        <v>0</v>
      </c>
      <c r="AO24" s="514">
        <f t="shared" si="10"/>
        <v>0</v>
      </c>
      <c r="AP24" s="513">
        <f t="shared" si="23"/>
        <v>0</v>
      </c>
      <c r="AQ24" s="234">
        <f t="shared" si="11"/>
        <v>0</v>
      </c>
      <c r="AR24" s="234">
        <f t="shared" si="24"/>
        <v>0</v>
      </c>
      <c r="AS24" s="234">
        <f t="shared" si="16"/>
        <v>0</v>
      </c>
      <c r="AT24" s="234">
        <f t="shared" si="17"/>
        <v>0</v>
      </c>
      <c r="AU24" s="234">
        <f t="shared" si="18"/>
        <v>0</v>
      </c>
      <c r="AV24" s="234">
        <f t="shared" si="19"/>
        <v>0</v>
      </c>
      <c r="AW24" s="234">
        <f t="shared" si="20"/>
        <v>0</v>
      </c>
      <c r="AX24" s="234">
        <f t="shared" si="21"/>
        <v>0</v>
      </c>
      <c r="AY24" s="234">
        <f t="shared" si="22"/>
        <v>0</v>
      </c>
      <c r="AZ24" s="235">
        <f t="shared" si="15"/>
        <v>0</v>
      </c>
      <c r="BA24" s="177"/>
      <c r="BB24" s="250"/>
      <c r="BC24" s="250"/>
      <c r="BD24" s="253"/>
      <c r="BE24" s="253"/>
      <c r="BF24" s="253"/>
      <c r="BG24" s="253"/>
      <c r="BH24" s="253"/>
      <c r="BI24" s="253"/>
      <c r="BJ24" s="253"/>
      <c r="BK24" s="253"/>
      <c r="BL24" s="692"/>
      <c r="BM24" s="692"/>
      <c r="BN24" s="682"/>
      <c r="BO24" s="683"/>
      <c r="BP24" s="614" t="s">
        <v>151</v>
      </c>
      <c r="BQ24" s="317"/>
      <c r="BR24" s="319">
        <v>8.77</v>
      </c>
      <c r="CD24" s="149"/>
    </row>
    <row r="25" spans="2:83" ht="25.5" hidden="1" customHeight="1" outlineLevel="1" x14ac:dyDescent="0.25">
      <c r="B25" s="680"/>
      <c r="C25" s="681"/>
      <c r="D25" s="613" t="s">
        <v>151</v>
      </c>
      <c r="E25" s="249"/>
      <c r="F25" s="201">
        <v>8.77</v>
      </c>
      <c r="G25" s="250"/>
      <c r="H25" s="250"/>
      <c r="I25" s="250"/>
      <c r="J25" s="250"/>
      <c r="K25" s="250"/>
      <c r="L25" s="250"/>
      <c r="M25" s="250"/>
      <c r="N25" s="250"/>
      <c r="O25" s="250"/>
      <c r="P25" s="250"/>
      <c r="Q25" s="415"/>
      <c r="R25" s="420" t="s">
        <v>78</v>
      </c>
      <c r="S25" s="622" t="s">
        <v>83</v>
      </c>
      <c r="T25" s="623"/>
      <c r="U25" s="624" t="s">
        <v>76</v>
      </c>
      <c r="V25" s="624"/>
      <c r="W25" s="415"/>
      <c r="X25" s="415"/>
      <c r="Y25" s="415"/>
      <c r="Z25" s="415"/>
      <c r="AA25" s="415"/>
      <c r="AB25" s="415"/>
      <c r="AC25" s="415"/>
      <c r="AD25" s="26">
        <f t="shared" si="0"/>
        <v>0</v>
      </c>
      <c r="AE25" s="26">
        <f t="shared" si="25"/>
        <v>0</v>
      </c>
      <c r="AF25" s="26">
        <f t="shared" si="26"/>
        <v>0</v>
      </c>
      <c r="AG25" s="26">
        <f t="shared" si="27"/>
        <v>0</v>
      </c>
      <c r="AH25" s="26">
        <f t="shared" si="28"/>
        <v>0</v>
      </c>
      <c r="AI25" s="26">
        <f t="shared" si="29"/>
        <v>0</v>
      </c>
      <c r="AJ25" s="26">
        <f t="shared" si="30"/>
        <v>0</v>
      </c>
      <c r="AK25" s="26">
        <f t="shared" si="31"/>
        <v>0</v>
      </c>
      <c r="AL25" s="26">
        <f t="shared" si="32"/>
        <v>0</v>
      </c>
      <c r="AM25" s="26">
        <f t="shared" si="33"/>
        <v>0</v>
      </c>
      <c r="AN25" s="68">
        <f t="shared" si="13"/>
        <v>0</v>
      </c>
      <c r="AO25" s="514">
        <f t="shared" si="10"/>
        <v>0</v>
      </c>
      <c r="AP25" s="513">
        <f t="shared" si="23"/>
        <v>0</v>
      </c>
      <c r="AQ25" s="234">
        <f t="shared" si="11"/>
        <v>0</v>
      </c>
      <c r="AR25" s="234">
        <f t="shared" si="24"/>
        <v>0</v>
      </c>
      <c r="AS25" s="234">
        <f t="shared" si="16"/>
        <v>0</v>
      </c>
      <c r="AT25" s="234">
        <f t="shared" si="17"/>
        <v>0</v>
      </c>
      <c r="AU25" s="234">
        <f t="shared" si="18"/>
        <v>0</v>
      </c>
      <c r="AV25" s="234">
        <f t="shared" si="19"/>
        <v>0</v>
      </c>
      <c r="AW25" s="234">
        <f t="shared" si="20"/>
        <v>0</v>
      </c>
      <c r="AX25" s="234">
        <f t="shared" si="21"/>
        <v>0</v>
      </c>
      <c r="AY25" s="234">
        <f t="shared" si="22"/>
        <v>0</v>
      </c>
      <c r="AZ25" s="235">
        <f t="shared" si="15"/>
        <v>0</v>
      </c>
      <c r="BA25" s="177"/>
      <c r="BB25" s="250"/>
      <c r="BC25" s="250"/>
      <c r="BD25" s="253"/>
      <c r="BE25" s="253"/>
      <c r="BF25" s="253"/>
      <c r="BG25" s="253"/>
      <c r="BH25" s="253"/>
      <c r="BI25" s="253"/>
      <c r="BJ25" s="253"/>
      <c r="BK25" s="253"/>
      <c r="BL25" s="692"/>
      <c r="BM25" s="692"/>
      <c r="BN25" s="682"/>
      <c r="BO25" s="683"/>
      <c r="BP25" s="614" t="s">
        <v>151</v>
      </c>
      <c r="BQ25" s="317"/>
      <c r="BR25" s="319">
        <v>8.77</v>
      </c>
      <c r="CD25" s="149"/>
    </row>
    <row r="26" spans="2:83" ht="25.5" hidden="1" customHeight="1" outlineLevel="1" x14ac:dyDescent="0.25">
      <c r="B26" s="680"/>
      <c r="C26" s="681"/>
      <c r="D26" s="613" t="s">
        <v>151</v>
      </c>
      <c r="E26" s="249"/>
      <c r="F26" s="201">
        <v>8.77</v>
      </c>
      <c r="G26" s="250"/>
      <c r="H26" s="250"/>
      <c r="I26" s="250"/>
      <c r="J26" s="250"/>
      <c r="K26" s="250"/>
      <c r="L26" s="250"/>
      <c r="M26" s="250"/>
      <c r="N26" s="250"/>
      <c r="O26" s="250"/>
      <c r="P26" s="250"/>
      <c r="Q26" s="415"/>
      <c r="R26" s="423">
        <v>0</v>
      </c>
      <c r="S26" s="625">
        <v>190</v>
      </c>
      <c r="T26" s="625"/>
      <c r="U26" s="626" cm="1">
        <f t="array" ref="U26">_xlfn.IFS(S26 = 190, (R26/S26)*8.77, S26=260, (R26/S26)*12, S26=70, (R26/S26)*3.23)</f>
        <v>0</v>
      </c>
      <c r="V26" s="626"/>
      <c r="W26" s="415"/>
      <c r="X26" s="415"/>
      <c r="Y26" s="415"/>
      <c r="Z26" s="415"/>
      <c r="AA26" s="415"/>
      <c r="AB26" s="415"/>
      <c r="AC26" s="415"/>
      <c r="AD26" s="26">
        <f t="shared" si="0"/>
        <v>0</v>
      </c>
      <c r="AE26" s="26">
        <f t="shared" si="25"/>
        <v>0</v>
      </c>
      <c r="AF26" s="26">
        <f t="shared" si="26"/>
        <v>0</v>
      </c>
      <c r="AG26" s="26">
        <f t="shared" si="27"/>
        <v>0</v>
      </c>
      <c r="AH26" s="26">
        <f t="shared" si="28"/>
        <v>0</v>
      </c>
      <c r="AI26" s="26">
        <f t="shared" si="29"/>
        <v>0</v>
      </c>
      <c r="AJ26" s="26">
        <f t="shared" si="30"/>
        <v>0</v>
      </c>
      <c r="AK26" s="26">
        <f t="shared" si="31"/>
        <v>0</v>
      </c>
      <c r="AL26" s="26">
        <f t="shared" si="32"/>
        <v>0</v>
      </c>
      <c r="AM26" s="26">
        <f t="shared" si="33"/>
        <v>0</v>
      </c>
      <c r="AN26" s="68">
        <f t="shared" si="13"/>
        <v>0</v>
      </c>
      <c r="AO26" s="514">
        <f t="shared" si="10"/>
        <v>0</v>
      </c>
      <c r="AP26" s="513">
        <f t="shared" si="23"/>
        <v>0</v>
      </c>
      <c r="AQ26" s="234">
        <f t="shared" si="11"/>
        <v>0</v>
      </c>
      <c r="AR26" s="234">
        <f t="shared" si="24"/>
        <v>0</v>
      </c>
      <c r="AS26" s="234">
        <f t="shared" si="16"/>
        <v>0</v>
      </c>
      <c r="AT26" s="234">
        <f t="shared" si="17"/>
        <v>0</v>
      </c>
      <c r="AU26" s="234">
        <f t="shared" si="18"/>
        <v>0</v>
      </c>
      <c r="AV26" s="234">
        <f t="shared" si="19"/>
        <v>0</v>
      </c>
      <c r="AW26" s="234">
        <f t="shared" si="20"/>
        <v>0</v>
      </c>
      <c r="AX26" s="234">
        <f t="shared" si="21"/>
        <v>0</v>
      </c>
      <c r="AY26" s="234">
        <f t="shared" si="22"/>
        <v>0</v>
      </c>
      <c r="AZ26" s="235">
        <f t="shared" si="15"/>
        <v>0</v>
      </c>
      <c r="BA26" s="177"/>
      <c r="BB26" s="250"/>
      <c r="BC26" s="250"/>
      <c r="BD26" s="253"/>
      <c r="BE26" s="253"/>
      <c r="BF26" s="253"/>
      <c r="BG26" s="253"/>
      <c r="BH26" s="253"/>
      <c r="BI26" s="253"/>
      <c r="BJ26" s="253"/>
      <c r="BK26" s="253"/>
      <c r="BL26" s="692"/>
      <c r="BM26" s="692"/>
      <c r="BN26" s="682"/>
      <c r="BO26" s="683"/>
      <c r="BP26" s="614" t="s">
        <v>151</v>
      </c>
      <c r="BQ26" s="317"/>
      <c r="BR26" s="319">
        <v>8.77</v>
      </c>
      <c r="CD26" s="149"/>
    </row>
    <row r="27" spans="2:83" ht="25.5" hidden="1" customHeight="1" outlineLevel="1" x14ac:dyDescent="0.25">
      <c r="B27" s="680"/>
      <c r="C27" s="681"/>
      <c r="D27" s="613" t="s">
        <v>151</v>
      </c>
      <c r="E27" s="249"/>
      <c r="F27" s="201">
        <v>8.77</v>
      </c>
      <c r="G27" s="250"/>
      <c r="H27" s="250"/>
      <c r="I27" s="250"/>
      <c r="J27" s="250"/>
      <c r="K27" s="250"/>
      <c r="L27" s="250"/>
      <c r="M27" s="250"/>
      <c r="N27" s="250"/>
      <c r="O27" s="250"/>
      <c r="P27" s="250"/>
      <c r="Q27" s="415"/>
      <c r="R27" s="415"/>
      <c r="S27" s="415"/>
      <c r="T27" s="415"/>
      <c r="U27" s="415"/>
      <c r="V27" s="415"/>
      <c r="W27" s="415"/>
      <c r="X27" s="415"/>
      <c r="Y27" s="415"/>
      <c r="Z27" s="415"/>
      <c r="AA27" s="415"/>
      <c r="AB27" s="415"/>
      <c r="AC27" s="415"/>
      <c r="AD27" s="26">
        <f t="shared" si="0"/>
        <v>0</v>
      </c>
      <c r="AE27" s="26">
        <f t="shared" si="25"/>
        <v>0</v>
      </c>
      <c r="AF27" s="26">
        <f t="shared" si="26"/>
        <v>0</v>
      </c>
      <c r="AG27" s="26">
        <f t="shared" si="27"/>
        <v>0</v>
      </c>
      <c r="AH27" s="26">
        <f t="shared" si="28"/>
        <v>0</v>
      </c>
      <c r="AI27" s="26">
        <f t="shared" si="29"/>
        <v>0</v>
      </c>
      <c r="AJ27" s="26">
        <f t="shared" si="30"/>
        <v>0</v>
      </c>
      <c r="AK27" s="26">
        <f t="shared" si="31"/>
        <v>0</v>
      </c>
      <c r="AL27" s="26">
        <f t="shared" si="32"/>
        <v>0</v>
      </c>
      <c r="AM27" s="26">
        <f t="shared" si="33"/>
        <v>0</v>
      </c>
      <c r="AN27" s="68">
        <f t="shared" si="13"/>
        <v>0</v>
      </c>
      <c r="AO27" s="514">
        <f t="shared" si="10"/>
        <v>0</v>
      </c>
      <c r="AP27" s="513">
        <f t="shared" si="23"/>
        <v>0</v>
      </c>
      <c r="AQ27" s="234">
        <f t="shared" si="11"/>
        <v>0</v>
      </c>
      <c r="AR27" s="234">
        <f t="shared" si="24"/>
        <v>0</v>
      </c>
      <c r="AS27" s="234">
        <f t="shared" si="16"/>
        <v>0</v>
      </c>
      <c r="AT27" s="234">
        <f t="shared" si="17"/>
        <v>0</v>
      </c>
      <c r="AU27" s="234">
        <f t="shared" si="18"/>
        <v>0</v>
      </c>
      <c r="AV27" s="234">
        <f t="shared" si="19"/>
        <v>0</v>
      </c>
      <c r="AW27" s="234">
        <f t="shared" si="20"/>
        <v>0</v>
      </c>
      <c r="AX27" s="234">
        <f t="shared" si="21"/>
        <v>0</v>
      </c>
      <c r="AY27" s="234">
        <f t="shared" si="22"/>
        <v>0</v>
      </c>
      <c r="AZ27" s="235">
        <f t="shared" si="15"/>
        <v>0</v>
      </c>
      <c r="BA27" s="177"/>
      <c r="BB27" s="250"/>
      <c r="BC27" s="250"/>
      <c r="BD27" s="253"/>
      <c r="BE27" s="253"/>
      <c r="BF27" s="253"/>
      <c r="BG27" s="253"/>
      <c r="BH27" s="253"/>
      <c r="BI27" s="253"/>
      <c r="BJ27" s="253"/>
      <c r="BK27" s="253"/>
      <c r="BL27" s="692"/>
      <c r="BM27" s="692"/>
      <c r="BN27" s="682"/>
      <c r="BO27" s="683"/>
      <c r="BP27" s="614" t="s">
        <v>151</v>
      </c>
      <c r="BQ27" s="317"/>
      <c r="BR27" s="319">
        <v>8.77</v>
      </c>
      <c r="CD27" s="149"/>
    </row>
    <row r="28" spans="2:83" ht="25.5" hidden="1" customHeight="1" outlineLevel="1" thickBot="1" x14ac:dyDescent="0.3">
      <c r="B28" s="810"/>
      <c r="C28" s="810"/>
      <c r="D28" s="613" t="s">
        <v>151</v>
      </c>
      <c r="E28" s="249"/>
      <c r="F28" s="201">
        <v>8.77</v>
      </c>
      <c r="G28" s="250"/>
      <c r="H28" s="250"/>
      <c r="I28" s="250"/>
      <c r="J28" s="250"/>
      <c r="K28" s="250"/>
      <c r="L28" s="250"/>
      <c r="M28" s="250"/>
      <c r="N28" s="250"/>
      <c r="O28" s="250"/>
      <c r="P28" s="250"/>
      <c r="Q28" s="415"/>
      <c r="R28" s="619" t="s">
        <v>84</v>
      </c>
      <c r="S28" s="619"/>
      <c r="T28" s="619"/>
      <c r="U28" s="619"/>
      <c r="V28" s="619"/>
      <c r="W28" s="415"/>
      <c r="X28" s="415"/>
      <c r="Y28" s="415"/>
      <c r="Z28" s="415"/>
      <c r="AA28" s="415"/>
      <c r="AB28" s="415"/>
      <c r="AC28" s="415"/>
      <c r="AD28" s="26">
        <f t="shared" si="0"/>
        <v>0</v>
      </c>
      <c r="AE28" s="26">
        <f t="shared" si="25"/>
        <v>0</v>
      </c>
      <c r="AF28" s="26">
        <f t="shared" si="26"/>
        <v>0</v>
      </c>
      <c r="AG28" s="26">
        <f t="shared" si="27"/>
        <v>0</v>
      </c>
      <c r="AH28" s="26">
        <f t="shared" si="28"/>
        <v>0</v>
      </c>
      <c r="AI28" s="26">
        <f t="shared" si="29"/>
        <v>0</v>
      </c>
      <c r="AJ28" s="26">
        <f t="shared" si="30"/>
        <v>0</v>
      </c>
      <c r="AK28" s="26">
        <f t="shared" si="31"/>
        <v>0</v>
      </c>
      <c r="AL28" s="26">
        <f t="shared" si="32"/>
        <v>0</v>
      </c>
      <c r="AM28" s="26">
        <f t="shared" si="33"/>
        <v>0</v>
      </c>
      <c r="AN28" s="68">
        <f t="shared" si="13"/>
        <v>0</v>
      </c>
      <c r="AO28" s="514">
        <f t="shared" si="10"/>
        <v>0</v>
      </c>
      <c r="AP28" s="513">
        <f t="shared" si="14"/>
        <v>0</v>
      </c>
      <c r="AQ28" s="234">
        <f t="shared" si="11"/>
        <v>0</v>
      </c>
      <c r="AR28" s="234">
        <f>ROUND($BQ28*1.03^I$2/$BR28*BD28,0)</f>
        <v>0</v>
      </c>
      <c r="AS28" s="234">
        <f>ROUND($BQ28*1.03^J$2/$BR28*BE28,0)</f>
        <v>0</v>
      </c>
      <c r="AT28" s="234">
        <f t="shared" si="17"/>
        <v>0</v>
      </c>
      <c r="AU28" s="234">
        <f t="shared" si="18"/>
        <v>0</v>
      </c>
      <c r="AV28" s="234">
        <f t="shared" si="19"/>
        <v>0</v>
      </c>
      <c r="AW28" s="234">
        <f t="shared" si="20"/>
        <v>0</v>
      </c>
      <c r="AX28" s="234">
        <f t="shared" si="21"/>
        <v>0</v>
      </c>
      <c r="AY28" s="234">
        <f t="shared" si="22"/>
        <v>0</v>
      </c>
      <c r="AZ28" s="235">
        <f t="shared" si="15"/>
        <v>0</v>
      </c>
      <c r="BA28" s="177"/>
      <c r="BB28" s="250"/>
      <c r="BC28" s="250"/>
      <c r="BD28" s="253"/>
      <c r="BE28" s="253"/>
      <c r="BF28" s="253"/>
      <c r="BG28" s="253"/>
      <c r="BH28" s="253"/>
      <c r="BI28" s="253"/>
      <c r="BJ28" s="253"/>
      <c r="BK28" s="253"/>
      <c r="BL28" s="692"/>
      <c r="BM28" s="692"/>
      <c r="BN28" s="682"/>
      <c r="BO28" s="683"/>
      <c r="BP28" s="614" t="s">
        <v>151</v>
      </c>
      <c r="BQ28" s="318"/>
      <c r="BR28" s="319">
        <v>8.77</v>
      </c>
      <c r="CD28" s="149"/>
    </row>
    <row r="29" spans="2:83" ht="25.5" hidden="1" customHeight="1" outlineLevel="1" x14ac:dyDescent="0.25">
      <c r="B29" s="810"/>
      <c r="C29" s="810"/>
      <c r="D29" s="613" t="s">
        <v>151</v>
      </c>
      <c r="E29" s="249"/>
      <c r="F29" s="201">
        <v>8.77</v>
      </c>
      <c r="G29" s="250"/>
      <c r="H29" s="250"/>
      <c r="I29" s="250"/>
      <c r="J29" s="250"/>
      <c r="K29" s="250"/>
      <c r="L29" s="250"/>
      <c r="M29" s="250"/>
      <c r="N29" s="250"/>
      <c r="O29" s="250"/>
      <c r="P29" s="250"/>
      <c r="Q29" s="415"/>
      <c r="R29" s="424" t="s">
        <v>74</v>
      </c>
      <c r="S29" s="424" t="s">
        <v>85</v>
      </c>
      <c r="T29" s="620" t="s">
        <v>152</v>
      </c>
      <c r="U29" s="620"/>
      <c r="V29" s="424" t="s">
        <v>153</v>
      </c>
      <c r="W29" s="415"/>
      <c r="X29" s="415"/>
      <c r="Y29" s="415"/>
      <c r="Z29" s="415"/>
      <c r="AA29" s="415"/>
      <c r="AB29" s="415"/>
      <c r="AC29" s="415"/>
      <c r="AD29" s="26">
        <f t="shared" si="0"/>
        <v>0</v>
      </c>
      <c r="AE29" s="233">
        <f t="shared" si="25"/>
        <v>0</v>
      </c>
      <c r="AF29" s="306">
        <f t="shared" si="26"/>
        <v>0</v>
      </c>
      <c r="AG29" s="291">
        <f t="shared" si="27"/>
        <v>0</v>
      </c>
      <c r="AH29" s="540">
        <f t="shared" si="28"/>
        <v>0</v>
      </c>
      <c r="AI29" s="26">
        <f t="shared" si="29"/>
        <v>0</v>
      </c>
      <c r="AJ29" s="26">
        <f t="shared" si="30"/>
        <v>0</v>
      </c>
      <c r="AK29" s="26">
        <f t="shared" si="31"/>
        <v>0</v>
      </c>
      <c r="AL29" s="26">
        <f t="shared" si="32"/>
        <v>0</v>
      </c>
      <c r="AM29" s="26">
        <f t="shared" si="33"/>
        <v>0</v>
      </c>
      <c r="AN29" s="68">
        <f t="shared" si="13"/>
        <v>0</v>
      </c>
      <c r="AO29" s="514">
        <f t="shared" si="10"/>
        <v>0</v>
      </c>
      <c r="AP29" s="513">
        <f>ROUND($BQ29/BR29*BB29,0)</f>
        <v>0</v>
      </c>
      <c r="AQ29" s="234">
        <f t="shared" si="11"/>
        <v>0</v>
      </c>
      <c r="AR29" s="234">
        <f>ROUND($BQ29*1.03^I$2/$BR29*BD29,0)</f>
        <v>0</v>
      </c>
      <c r="AS29" s="234">
        <f t="shared" si="16"/>
        <v>0</v>
      </c>
      <c r="AT29" s="234">
        <f t="shared" si="17"/>
        <v>0</v>
      </c>
      <c r="AU29" s="234">
        <f t="shared" si="18"/>
        <v>0</v>
      </c>
      <c r="AV29" s="234">
        <f t="shared" si="19"/>
        <v>0</v>
      </c>
      <c r="AW29" s="234">
        <f t="shared" si="20"/>
        <v>0</v>
      </c>
      <c r="AX29" s="234">
        <f t="shared" si="21"/>
        <v>0</v>
      </c>
      <c r="AY29" s="234">
        <f t="shared" si="22"/>
        <v>0</v>
      </c>
      <c r="AZ29" s="235">
        <f t="shared" si="15"/>
        <v>0</v>
      </c>
      <c r="BA29" s="177"/>
      <c r="BB29" s="250"/>
      <c r="BC29" s="250"/>
      <c r="BD29" s="253"/>
      <c r="BE29" s="253"/>
      <c r="BF29" s="253"/>
      <c r="BG29" s="253"/>
      <c r="BH29" s="253"/>
      <c r="BI29" s="253"/>
      <c r="BJ29" s="253"/>
      <c r="BK29" s="253"/>
      <c r="BL29" s="692"/>
      <c r="BM29" s="692"/>
      <c r="BN29" s="682"/>
      <c r="BO29" s="683"/>
      <c r="BP29" s="614" t="s">
        <v>151</v>
      </c>
      <c r="BQ29" s="318"/>
      <c r="BR29" s="319">
        <v>8.77</v>
      </c>
      <c r="CD29" s="149"/>
    </row>
    <row r="30" spans="2:83" ht="25.5" hidden="1" customHeight="1" outlineLevel="1" x14ac:dyDescent="0.25">
      <c r="B30" s="810"/>
      <c r="C30" s="810"/>
      <c r="D30" s="613" t="s">
        <v>151</v>
      </c>
      <c r="E30" s="249"/>
      <c r="F30" s="201">
        <v>8.77</v>
      </c>
      <c r="G30" s="250"/>
      <c r="H30" s="250"/>
      <c r="I30" s="250"/>
      <c r="J30" s="250"/>
      <c r="K30" s="250"/>
      <c r="L30" s="250"/>
      <c r="M30" s="250"/>
      <c r="N30" s="250"/>
      <c r="O30" s="250"/>
      <c r="P30" s="250"/>
      <c r="Q30" s="415"/>
      <c r="R30" s="429">
        <v>0</v>
      </c>
      <c r="S30" s="430">
        <v>0</v>
      </c>
      <c r="T30" s="621">
        <v>8.77</v>
      </c>
      <c r="U30" s="621"/>
      <c r="V30" s="425">
        <f>T30*S30*R30</f>
        <v>0</v>
      </c>
      <c r="W30" s="415"/>
      <c r="X30" s="415"/>
      <c r="Y30" s="415"/>
      <c r="Z30" s="415"/>
      <c r="AA30" s="415"/>
      <c r="AB30" s="415"/>
      <c r="AC30" s="415"/>
      <c r="AD30" s="307">
        <f t="shared" si="0"/>
        <v>0</v>
      </c>
      <c r="AE30" s="307">
        <f t="shared" si="25"/>
        <v>0</v>
      </c>
      <c r="AF30" s="306">
        <f t="shared" si="26"/>
        <v>0</v>
      </c>
      <c r="AG30" s="291">
        <f t="shared" si="27"/>
        <v>0</v>
      </c>
      <c r="AH30" s="541">
        <f t="shared" si="28"/>
        <v>0</v>
      </c>
      <c r="AI30" s="26">
        <f t="shared" si="29"/>
        <v>0</v>
      </c>
      <c r="AJ30" s="26">
        <f t="shared" si="30"/>
        <v>0</v>
      </c>
      <c r="AK30" s="26">
        <f t="shared" si="31"/>
        <v>0</v>
      </c>
      <c r="AL30" s="26">
        <f t="shared" si="32"/>
        <v>0</v>
      </c>
      <c r="AM30" s="26">
        <f t="shared" si="33"/>
        <v>0</v>
      </c>
      <c r="AN30" s="68">
        <f t="shared" si="13"/>
        <v>0</v>
      </c>
      <c r="AO30" s="514">
        <f t="shared" si="10"/>
        <v>0</v>
      </c>
      <c r="AP30" s="513">
        <f t="shared" si="14"/>
        <v>0</v>
      </c>
      <c r="AQ30" s="234">
        <f t="shared" si="11"/>
        <v>0</v>
      </c>
      <c r="AR30" s="234">
        <f>ROUND($BQ30*1.03^I$2/$BR30*BD30,0)</f>
        <v>0</v>
      </c>
      <c r="AS30" s="234">
        <f t="shared" si="16"/>
        <v>0</v>
      </c>
      <c r="AT30" s="234">
        <f t="shared" si="17"/>
        <v>0</v>
      </c>
      <c r="AU30" s="234">
        <f t="shared" si="18"/>
        <v>0</v>
      </c>
      <c r="AV30" s="234">
        <f t="shared" si="19"/>
        <v>0</v>
      </c>
      <c r="AW30" s="234">
        <f t="shared" si="20"/>
        <v>0</v>
      </c>
      <c r="AX30" s="234">
        <f t="shared" si="21"/>
        <v>0</v>
      </c>
      <c r="AY30" s="234">
        <f t="shared" si="22"/>
        <v>0</v>
      </c>
      <c r="AZ30" s="235">
        <f t="shared" si="15"/>
        <v>0</v>
      </c>
      <c r="BA30" s="177"/>
      <c r="BB30" s="250"/>
      <c r="BC30" s="250"/>
      <c r="BD30" s="253"/>
      <c r="BE30" s="253"/>
      <c r="BF30" s="253"/>
      <c r="BG30" s="253"/>
      <c r="BH30" s="253"/>
      <c r="BI30" s="253"/>
      <c r="BJ30" s="253"/>
      <c r="BK30" s="253"/>
      <c r="BL30" s="692"/>
      <c r="BM30" s="692"/>
      <c r="BN30" s="682"/>
      <c r="BO30" s="683"/>
      <c r="BP30" s="614" t="s">
        <v>151</v>
      </c>
      <c r="BQ30" s="317"/>
      <c r="BR30" s="319">
        <v>8.77</v>
      </c>
      <c r="CD30" s="196"/>
    </row>
    <row r="31" spans="2:83" ht="34.5" customHeight="1" collapsed="1" x14ac:dyDescent="0.25">
      <c r="B31" s="807" t="s">
        <v>154</v>
      </c>
      <c r="C31" s="807"/>
      <c r="D31" s="807"/>
      <c r="E31" s="807"/>
      <c r="F31" s="807"/>
      <c r="G31" s="807"/>
      <c r="H31" s="807"/>
      <c r="I31" s="807"/>
      <c r="J31" s="807"/>
      <c r="K31" s="807"/>
      <c r="L31" s="807"/>
      <c r="M31" s="807"/>
      <c r="N31" s="807"/>
      <c r="O31" s="807"/>
      <c r="P31" s="807"/>
      <c r="Q31" s="807"/>
      <c r="R31" s="807"/>
      <c r="S31" s="807"/>
      <c r="T31" s="807"/>
      <c r="U31" s="807"/>
      <c r="V31" s="807"/>
      <c r="W31" s="807"/>
      <c r="X31" s="807"/>
      <c r="Y31" s="807"/>
      <c r="Z31" s="807"/>
      <c r="AA31" s="807"/>
      <c r="AB31" s="807"/>
      <c r="AC31" s="807"/>
      <c r="AD31" s="433">
        <f>SUM(AD11:AD30)</f>
        <v>0</v>
      </c>
      <c r="AE31" s="433">
        <f>SUM(AE11:AE30)</f>
        <v>0</v>
      </c>
      <c r="AF31" s="433">
        <f t="shared" ref="AF31:AM31" si="34">SUM(AF11:AF30)</f>
        <v>0</v>
      </c>
      <c r="AG31" s="433">
        <f t="shared" si="34"/>
        <v>0</v>
      </c>
      <c r="AH31" s="433">
        <f t="shared" si="34"/>
        <v>0</v>
      </c>
      <c r="AI31" s="433">
        <f t="shared" si="34"/>
        <v>0</v>
      </c>
      <c r="AJ31" s="433">
        <f t="shared" si="34"/>
        <v>0</v>
      </c>
      <c r="AK31" s="433">
        <f t="shared" si="34"/>
        <v>0</v>
      </c>
      <c r="AL31" s="542">
        <f t="shared" si="34"/>
        <v>0</v>
      </c>
      <c r="AM31" s="433">
        <f t="shared" si="34"/>
        <v>0</v>
      </c>
      <c r="AN31" s="516">
        <f>SUM(AN11:AN30)</f>
        <v>0</v>
      </c>
      <c r="AO31" s="512">
        <f>SrSalaryToT+$AZ31</f>
        <v>0</v>
      </c>
      <c r="AP31" s="564">
        <f t="shared" ref="AP31:AY31" si="35">SUM(AP11:AP30)</f>
        <v>0</v>
      </c>
      <c r="AQ31" s="565">
        <f t="shared" si="35"/>
        <v>0</v>
      </c>
      <c r="AR31" s="565">
        <f t="shared" si="35"/>
        <v>0</v>
      </c>
      <c r="AS31" s="565">
        <f t="shared" si="35"/>
        <v>0</v>
      </c>
      <c r="AT31" s="565">
        <f t="shared" si="35"/>
        <v>0</v>
      </c>
      <c r="AU31" s="565">
        <f t="shared" si="35"/>
        <v>0</v>
      </c>
      <c r="AV31" s="565">
        <f t="shared" si="35"/>
        <v>0</v>
      </c>
      <c r="AW31" s="565">
        <f t="shared" si="35"/>
        <v>0</v>
      </c>
      <c r="AX31" s="565">
        <f t="shared" si="35"/>
        <v>0</v>
      </c>
      <c r="AY31" s="565">
        <f t="shared" si="35"/>
        <v>0</v>
      </c>
      <c r="AZ31" s="564">
        <f>SUM(AZ11:AZ30)</f>
        <v>0</v>
      </c>
      <c r="BA31" s="385"/>
      <c r="BB31" s="834" t="s">
        <v>155</v>
      </c>
      <c r="BC31" s="834"/>
      <c r="BD31" s="834"/>
      <c r="BE31" s="834"/>
      <c r="BF31" s="834"/>
      <c r="BG31" s="834"/>
      <c r="BH31" s="834"/>
      <c r="BI31" s="834"/>
      <c r="BJ31" s="834"/>
      <c r="BK31" s="834"/>
      <c r="BL31" s="834"/>
      <c r="BM31" s="834"/>
      <c r="BN31" s="834"/>
      <c r="BO31" s="834"/>
      <c r="BP31" s="834"/>
      <c r="BQ31" s="834"/>
      <c r="BR31" s="834"/>
      <c r="BS31" s="834"/>
      <c r="BT31" s="834"/>
      <c r="BU31" s="834"/>
      <c r="BV31" s="834"/>
      <c r="BW31" s="834"/>
      <c r="BX31" s="834"/>
      <c r="BY31" s="834"/>
      <c r="BZ31" s="834"/>
      <c r="CA31" s="834"/>
      <c r="CB31" s="834"/>
      <c r="CC31" s="834"/>
      <c r="CD31" s="835"/>
      <c r="CE31" s="28"/>
    </row>
    <row r="32" spans="2:83" ht="52.5" customHeight="1" thickBot="1" x14ac:dyDescent="0.35">
      <c r="B32" s="738" t="s">
        <v>156</v>
      </c>
      <c r="C32" s="738"/>
      <c r="D32" s="738"/>
      <c r="E32" s="738"/>
      <c r="F32" s="738"/>
      <c r="G32" s="738"/>
      <c r="H32" s="738"/>
      <c r="I32" s="738"/>
      <c r="J32" s="220"/>
      <c r="K32" s="220"/>
      <c r="L32" s="220"/>
      <c r="M32" s="220"/>
      <c r="N32" s="220"/>
      <c r="O32" s="220"/>
      <c r="P32" s="220"/>
      <c r="Q32" s="221"/>
      <c r="R32" s="221"/>
      <c r="S32" s="221"/>
      <c r="T32" s="221"/>
      <c r="U32" s="221"/>
      <c r="V32" s="221"/>
      <c r="W32" s="221"/>
      <c r="X32" s="221"/>
      <c r="Y32" s="221"/>
      <c r="Z32" s="221"/>
      <c r="AA32" s="221"/>
      <c r="AB32" s="221"/>
      <c r="AC32" s="221"/>
      <c r="AD32" s="797" t="s">
        <v>121</v>
      </c>
      <c r="AE32" s="797"/>
      <c r="AF32" s="797"/>
      <c r="AG32" s="797"/>
      <c r="AH32" s="797"/>
      <c r="AI32" s="797"/>
      <c r="AJ32" s="797"/>
      <c r="AK32" s="797"/>
      <c r="AL32" s="797"/>
      <c r="AM32" s="797"/>
      <c r="AN32" s="798"/>
      <c r="AO32" s="511"/>
      <c r="AP32" s="672" t="s">
        <v>157</v>
      </c>
      <c r="AQ32" s="672"/>
      <c r="AR32" s="672"/>
      <c r="AS32" s="672"/>
      <c r="AT32" s="672"/>
      <c r="AU32" s="672"/>
      <c r="AV32" s="672"/>
      <c r="AW32" s="672"/>
      <c r="AX32" s="672"/>
      <c r="AY32" s="672"/>
      <c r="AZ32" s="672"/>
      <c r="BA32" s="672"/>
      <c r="BB32" s="672"/>
      <c r="BC32" s="672"/>
      <c r="BD32" s="672"/>
      <c r="BE32" s="672"/>
      <c r="BF32" s="672"/>
      <c r="BG32" s="672"/>
      <c r="BH32" s="672"/>
      <c r="BI32" s="672"/>
      <c r="BJ32" s="672"/>
      <c r="BK32" s="672"/>
      <c r="BL32" s="672"/>
      <c r="BM32" s="672"/>
      <c r="BN32" s="672"/>
      <c r="BO32" s="672"/>
      <c r="BP32" s="672"/>
      <c r="BQ32" s="672"/>
      <c r="BR32" s="672"/>
      <c r="BS32" s="672"/>
      <c r="BT32" s="672"/>
      <c r="BU32" s="672"/>
      <c r="BV32" s="672"/>
      <c r="BW32" s="672"/>
      <c r="BX32" s="672"/>
      <c r="BY32" s="672"/>
      <c r="BZ32" s="672"/>
      <c r="CA32" s="672"/>
      <c r="CB32" s="672"/>
      <c r="CC32" s="672"/>
      <c r="CD32" s="672"/>
    </row>
    <row r="33" spans="2:82" ht="46.5" customHeight="1" thickTop="1" x14ac:dyDescent="0.25">
      <c r="B33" s="57" t="s">
        <v>158</v>
      </c>
      <c r="C33" s="52" t="s">
        <v>159</v>
      </c>
      <c r="D33" s="58" t="s">
        <v>160</v>
      </c>
      <c r="E33" s="58" t="s">
        <v>161</v>
      </c>
      <c r="F33" s="58" t="s">
        <v>162</v>
      </c>
      <c r="G33" s="58" t="s">
        <v>163</v>
      </c>
      <c r="H33" s="58" t="s">
        <v>164</v>
      </c>
      <c r="I33" s="58" t="s">
        <v>165</v>
      </c>
      <c r="J33" s="58" t="s">
        <v>166</v>
      </c>
      <c r="K33" s="58" t="s">
        <v>167</v>
      </c>
      <c r="L33" s="58" t="s">
        <v>168</v>
      </c>
      <c r="M33" s="58" t="s">
        <v>169</v>
      </c>
      <c r="N33" s="58" t="s">
        <v>170</v>
      </c>
      <c r="O33" s="58" t="s">
        <v>171</v>
      </c>
      <c r="P33" s="58" t="s">
        <v>172</v>
      </c>
      <c r="Q33" s="799"/>
      <c r="R33" s="799"/>
      <c r="S33" s="799"/>
      <c r="T33" s="799"/>
      <c r="U33" s="799"/>
      <c r="V33" s="799"/>
      <c r="W33" s="799"/>
      <c r="X33" s="799"/>
      <c r="Y33" s="799"/>
      <c r="Z33" s="799"/>
      <c r="AA33" s="799"/>
      <c r="AB33" s="799"/>
      <c r="AC33" s="799"/>
      <c r="AD33" s="51" t="s">
        <v>137</v>
      </c>
      <c r="AE33" s="51" t="s">
        <v>138</v>
      </c>
      <c r="AF33" s="51" t="s">
        <v>139</v>
      </c>
      <c r="AG33" s="51" t="s">
        <v>140</v>
      </c>
      <c r="AH33" s="51" t="s">
        <v>141</v>
      </c>
      <c r="AI33" s="51" t="s">
        <v>142</v>
      </c>
      <c r="AJ33" s="51" t="s">
        <v>143</v>
      </c>
      <c r="AK33" s="51" t="s">
        <v>144</v>
      </c>
      <c r="AL33" s="51" t="s">
        <v>145</v>
      </c>
      <c r="AM33" s="51" t="s">
        <v>146</v>
      </c>
      <c r="AN33" s="515" t="s">
        <v>116</v>
      </c>
      <c r="AO33" s="512"/>
      <c r="AP33" s="54" t="s">
        <v>137</v>
      </c>
      <c r="AQ33" s="54" t="s">
        <v>138</v>
      </c>
      <c r="AR33" s="54" t="s">
        <v>139</v>
      </c>
      <c r="AS33" s="54" t="s">
        <v>140</v>
      </c>
      <c r="AT33" s="54" t="s">
        <v>141</v>
      </c>
      <c r="AU33" s="54" t="s">
        <v>142</v>
      </c>
      <c r="AV33" s="54" t="s">
        <v>143</v>
      </c>
      <c r="AW33" s="54" t="s">
        <v>144</v>
      </c>
      <c r="AX33" s="54" t="s">
        <v>145</v>
      </c>
      <c r="AY33" s="54" t="s">
        <v>146</v>
      </c>
      <c r="AZ33" s="353" t="s">
        <v>147</v>
      </c>
      <c r="BA33" s="174"/>
      <c r="BB33" s="58" t="s">
        <v>126</v>
      </c>
      <c r="BC33" s="58" t="s">
        <v>127</v>
      </c>
      <c r="BD33" s="58" t="s">
        <v>128</v>
      </c>
      <c r="BE33" s="58" t="s">
        <v>129</v>
      </c>
      <c r="BF33" s="58" t="s">
        <v>130</v>
      </c>
      <c r="BG33" s="58" t="s">
        <v>131</v>
      </c>
      <c r="BH33" s="58" t="s">
        <v>132</v>
      </c>
      <c r="BI33" s="58" t="s">
        <v>133</v>
      </c>
      <c r="BJ33" s="58" t="s">
        <v>134</v>
      </c>
      <c r="BK33" s="58" t="s">
        <v>135</v>
      </c>
      <c r="BL33" s="691" t="s">
        <v>148</v>
      </c>
      <c r="BM33" s="691"/>
      <c r="BN33" s="55" t="s">
        <v>158</v>
      </c>
      <c r="BO33" s="52" t="s">
        <v>159</v>
      </c>
      <c r="BP33" s="58" t="s">
        <v>160</v>
      </c>
      <c r="BQ33" s="58" t="s">
        <v>161</v>
      </c>
      <c r="BR33" s="58" t="s">
        <v>162</v>
      </c>
      <c r="BS33"/>
      <c r="BT33"/>
      <c r="CD33" s="195"/>
    </row>
    <row r="34" spans="2:82" ht="25.5" customHeight="1" x14ac:dyDescent="0.25">
      <c r="B34" s="254"/>
      <c r="C34" s="550" t="s">
        <v>173</v>
      </c>
      <c r="D34" s="254"/>
      <c r="E34" s="256"/>
      <c r="F34" s="29">
        <f t="shared" ref="F34:F53" si="36">(D34*E34)*4.333</f>
        <v>0</v>
      </c>
      <c r="G34" s="257"/>
      <c r="H34" s="257"/>
      <c r="I34" s="257"/>
      <c r="J34" s="257"/>
      <c r="K34" s="257"/>
      <c r="L34" s="257"/>
      <c r="M34" s="257"/>
      <c r="N34" s="257"/>
      <c r="O34" s="257"/>
      <c r="P34" s="257"/>
      <c r="Q34" s="800"/>
      <c r="R34" s="800"/>
      <c r="S34" s="800"/>
      <c r="T34" s="800"/>
      <c r="U34" s="800"/>
      <c r="V34" s="800"/>
      <c r="W34" s="800"/>
      <c r="X34" s="800"/>
      <c r="Y34" s="800"/>
      <c r="Z34" s="800"/>
      <c r="AA34" s="800"/>
      <c r="AB34" s="800"/>
      <c r="AC34" s="800"/>
      <c r="AD34" s="26">
        <f t="shared" ref="AD34:AD53" si="37">ROUND($F34*$B34*G34,0)</f>
        <v>0</v>
      </c>
      <c r="AE34" s="26">
        <f t="shared" ref="AE34:AE53" si="38">ROUND($F34*1.03^H$2*$B34*H34,0)</f>
        <v>0</v>
      </c>
      <c r="AF34" s="26">
        <f t="shared" ref="AF34:AF53" si="39">ROUND($F34*1.03^I$2*$B34*I34,0)</f>
        <v>0</v>
      </c>
      <c r="AG34" s="26">
        <f t="shared" ref="AG34:AG53" si="40">ROUND($F34*1.03^J$2*$B34*J34,0)</f>
        <v>0</v>
      </c>
      <c r="AH34" s="26">
        <f t="shared" ref="AH34:AH53" si="41">ROUND($F34*1.03^K$2*$B34*K34,0)</f>
        <v>0</v>
      </c>
      <c r="AI34" s="26">
        <f t="shared" ref="AI34:AM49" si="42">ROUND($F34*1.03^L$2*$B34*L34,0)</f>
        <v>0</v>
      </c>
      <c r="AJ34" s="26">
        <f t="shared" si="42"/>
        <v>0</v>
      </c>
      <c r="AK34" s="26">
        <f t="shared" si="42"/>
        <v>0</v>
      </c>
      <c r="AL34" s="26">
        <f t="shared" si="42"/>
        <v>0</v>
      </c>
      <c r="AM34" s="26">
        <f t="shared" si="42"/>
        <v>0</v>
      </c>
      <c r="AN34" s="68">
        <f>SUM(AD34:AM34)</f>
        <v>0</v>
      </c>
      <c r="AO34" s="517">
        <f t="shared" ref="AO34:AO53" si="43">AN34+AZ34</f>
        <v>0</v>
      </c>
      <c r="AP34" s="596">
        <f>ROUND($BR34*$BN34*BB34,0)</f>
        <v>0</v>
      </c>
      <c r="AQ34" s="597">
        <f t="shared" ref="AQ34:AY34" si="44">ROUND($BR34*1.03^H$2*$BN34*BC34,0)</f>
        <v>0</v>
      </c>
      <c r="AR34" s="597">
        <f t="shared" si="44"/>
        <v>0</v>
      </c>
      <c r="AS34" s="597">
        <f t="shared" si="44"/>
        <v>0</v>
      </c>
      <c r="AT34" s="597">
        <f t="shared" si="44"/>
        <v>0</v>
      </c>
      <c r="AU34" s="597">
        <f t="shared" si="44"/>
        <v>0</v>
      </c>
      <c r="AV34" s="597">
        <f t="shared" si="44"/>
        <v>0</v>
      </c>
      <c r="AW34" s="597">
        <f t="shared" si="44"/>
        <v>0</v>
      </c>
      <c r="AX34" s="597">
        <f t="shared" si="44"/>
        <v>0</v>
      </c>
      <c r="AY34" s="597">
        <f t="shared" si="44"/>
        <v>0</v>
      </c>
      <c r="AZ34" s="598">
        <f>SUM(AP34:AY34)</f>
        <v>0</v>
      </c>
      <c r="BA34" s="138"/>
      <c r="BB34" s="257"/>
      <c r="BC34" s="257"/>
      <c r="BD34" s="257"/>
      <c r="BE34" s="257"/>
      <c r="BF34" s="257"/>
      <c r="BG34" s="257"/>
      <c r="BH34" s="257"/>
      <c r="BI34" s="257"/>
      <c r="BJ34" s="257"/>
      <c r="BK34" s="257"/>
      <c r="BL34" s="692"/>
      <c r="BM34" s="692"/>
      <c r="BN34" s="254"/>
      <c r="BO34" s="550" t="s">
        <v>173</v>
      </c>
      <c r="BP34" s="254"/>
      <c r="BQ34" s="256"/>
      <c r="BR34" s="29">
        <f t="shared" ref="BR34:BR53" si="45">(BP34*BQ34)*4.333</f>
        <v>0</v>
      </c>
      <c r="BS34"/>
      <c r="BT34"/>
      <c r="CD34" s="149"/>
    </row>
    <row r="35" spans="2:82" ht="25.5" customHeight="1" x14ac:dyDescent="0.25">
      <c r="B35" s="254"/>
      <c r="C35" s="550" t="s">
        <v>174</v>
      </c>
      <c r="D35" s="254"/>
      <c r="E35" s="256"/>
      <c r="F35" s="29">
        <f t="shared" si="36"/>
        <v>0</v>
      </c>
      <c r="G35" s="257"/>
      <c r="H35" s="257"/>
      <c r="I35" s="257"/>
      <c r="J35" s="257"/>
      <c r="K35" s="257"/>
      <c r="L35" s="257"/>
      <c r="M35" s="257"/>
      <c r="N35" s="257"/>
      <c r="O35" s="257"/>
      <c r="P35" s="257"/>
      <c r="Q35" s="800"/>
      <c r="R35" s="800"/>
      <c r="S35" s="800"/>
      <c r="T35" s="800"/>
      <c r="U35" s="800"/>
      <c r="V35" s="800"/>
      <c r="W35" s="800"/>
      <c r="X35" s="800"/>
      <c r="Y35" s="800"/>
      <c r="Z35" s="800"/>
      <c r="AA35" s="800"/>
      <c r="AB35" s="800"/>
      <c r="AC35" s="800"/>
      <c r="AD35" s="26">
        <f t="shared" si="37"/>
        <v>0</v>
      </c>
      <c r="AE35" s="26">
        <f t="shared" si="38"/>
        <v>0</v>
      </c>
      <c r="AF35" s="26">
        <f t="shared" si="39"/>
        <v>0</v>
      </c>
      <c r="AG35" s="26">
        <f t="shared" si="40"/>
        <v>0</v>
      </c>
      <c r="AH35" s="26">
        <f t="shared" si="41"/>
        <v>0</v>
      </c>
      <c r="AI35" s="26">
        <f t="shared" si="42"/>
        <v>0</v>
      </c>
      <c r="AJ35" s="26">
        <f t="shared" si="42"/>
        <v>0</v>
      </c>
      <c r="AK35" s="26">
        <f t="shared" si="42"/>
        <v>0</v>
      </c>
      <c r="AL35" s="26">
        <f t="shared" si="42"/>
        <v>0</v>
      </c>
      <c r="AM35" s="26">
        <f t="shared" si="42"/>
        <v>0</v>
      </c>
      <c r="AN35" s="68">
        <f t="shared" ref="AN35:AN53" si="46">SUM(AD35:AM35)</f>
        <v>0</v>
      </c>
      <c r="AO35" s="517">
        <f t="shared" si="43"/>
        <v>0</v>
      </c>
      <c r="AP35" s="596">
        <f t="shared" ref="AP35:AP46" si="47">ROUND($BR35*$BN35*BB35,0)</f>
        <v>0</v>
      </c>
      <c r="AQ35" s="597">
        <f t="shared" ref="AQ35:AQ46" si="48">ROUND($BR35*1.03^H$2*$BN35*BC35,0)</f>
        <v>0</v>
      </c>
      <c r="AR35" s="597">
        <f t="shared" ref="AR35:AR46" si="49">ROUND($BR35*1.03^I$2*$BN35*BD35,0)</f>
        <v>0</v>
      </c>
      <c r="AS35" s="597">
        <f t="shared" ref="AS35:AS46" si="50">ROUND($BR35*1.03^J$2*$BN35*BE35,0)</f>
        <v>0</v>
      </c>
      <c r="AT35" s="597">
        <f t="shared" ref="AT35:AT46" si="51">ROUND($BR35*1.03^K$2*$BN35*BF35,0)</f>
        <v>0</v>
      </c>
      <c r="AU35" s="597">
        <f t="shared" ref="AU35:AU53" si="52">ROUND($BR35*1.03^L$2*$BN35*BG35,0)</f>
        <v>0</v>
      </c>
      <c r="AV35" s="597">
        <f t="shared" ref="AV35:AV53" si="53">ROUND($BR35*1.03^M$2*$BN35*BH35,0)</f>
        <v>0</v>
      </c>
      <c r="AW35" s="597">
        <f t="shared" ref="AW35:AW53" si="54">ROUND($BR35*1.03^N$2*$BN35*BI35,0)</f>
        <v>0</v>
      </c>
      <c r="AX35" s="597">
        <f t="shared" ref="AX35:AX53" si="55">ROUND($BR35*1.03^O$2*$BN35*BJ35,0)</f>
        <v>0</v>
      </c>
      <c r="AY35" s="597">
        <f t="shared" ref="AY35:AY53" si="56">ROUND($BR35*1.03^P$2*$BN35*BK35,0)</f>
        <v>0</v>
      </c>
      <c r="AZ35" s="598">
        <f t="shared" ref="AZ35:AZ53" si="57">SUM(AP35:AY35)</f>
        <v>0</v>
      </c>
      <c r="BA35" s="138"/>
      <c r="BB35" s="257"/>
      <c r="BC35" s="257"/>
      <c r="BD35" s="257"/>
      <c r="BE35" s="257"/>
      <c r="BF35" s="257"/>
      <c r="BG35" s="257"/>
      <c r="BH35" s="257"/>
      <c r="BI35" s="257"/>
      <c r="BJ35" s="257"/>
      <c r="BK35" s="257"/>
      <c r="BL35" s="692"/>
      <c r="BM35" s="692"/>
      <c r="BN35" s="254"/>
      <c r="BO35" s="550" t="s">
        <v>174</v>
      </c>
      <c r="BP35" s="254"/>
      <c r="BQ35" s="256"/>
      <c r="BR35" s="29">
        <f t="shared" si="45"/>
        <v>0</v>
      </c>
      <c r="BS35"/>
      <c r="BT35"/>
      <c r="CD35" s="149"/>
    </row>
    <row r="36" spans="2:82" ht="25.5" customHeight="1" x14ac:dyDescent="0.25">
      <c r="B36" s="254"/>
      <c r="C36" s="550" t="s">
        <v>175</v>
      </c>
      <c r="D36" s="254"/>
      <c r="E36" s="256"/>
      <c r="F36" s="29">
        <f t="shared" si="36"/>
        <v>0</v>
      </c>
      <c r="G36" s="257"/>
      <c r="H36" s="257"/>
      <c r="I36" s="257"/>
      <c r="J36" s="257"/>
      <c r="K36" s="257"/>
      <c r="L36" s="257"/>
      <c r="M36" s="257"/>
      <c r="N36" s="257"/>
      <c r="O36" s="257"/>
      <c r="P36" s="257"/>
      <c r="Q36" s="800"/>
      <c r="R36" s="800"/>
      <c r="S36" s="800"/>
      <c r="T36" s="800"/>
      <c r="U36" s="800"/>
      <c r="V36" s="800"/>
      <c r="W36" s="800"/>
      <c r="X36" s="800"/>
      <c r="Y36" s="800"/>
      <c r="Z36" s="800"/>
      <c r="AA36" s="800"/>
      <c r="AB36" s="800"/>
      <c r="AC36" s="800"/>
      <c r="AD36" s="26">
        <f>ROUND($F36*$B36*G36,0)</f>
        <v>0</v>
      </c>
      <c r="AE36" s="26">
        <f t="shared" si="38"/>
        <v>0</v>
      </c>
      <c r="AF36" s="26">
        <f t="shared" si="39"/>
        <v>0</v>
      </c>
      <c r="AG36" s="26">
        <f t="shared" si="40"/>
        <v>0</v>
      </c>
      <c r="AH36" s="26">
        <f t="shared" si="41"/>
        <v>0</v>
      </c>
      <c r="AI36" s="26">
        <f t="shared" si="42"/>
        <v>0</v>
      </c>
      <c r="AJ36" s="26">
        <f t="shared" si="42"/>
        <v>0</v>
      </c>
      <c r="AK36" s="26">
        <f t="shared" si="42"/>
        <v>0</v>
      </c>
      <c r="AL36" s="26">
        <f t="shared" si="42"/>
        <v>0</v>
      </c>
      <c r="AM36" s="26">
        <f t="shared" si="42"/>
        <v>0</v>
      </c>
      <c r="AN36" s="68">
        <f t="shared" si="46"/>
        <v>0</v>
      </c>
      <c r="AO36" s="517">
        <f t="shared" si="43"/>
        <v>0</v>
      </c>
      <c r="AP36" s="596">
        <f t="shared" si="47"/>
        <v>0</v>
      </c>
      <c r="AQ36" s="597">
        <f t="shared" si="48"/>
        <v>0</v>
      </c>
      <c r="AR36" s="597">
        <f t="shared" si="49"/>
        <v>0</v>
      </c>
      <c r="AS36" s="597">
        <f t="shared" si="50"/>
        <v>0</v>
      </c>
      <c r="AT36" s="597">
        <f t="shared" si="51"/>
        <v>0</v>
      </c>
      <c r="AU36" s="597">
        <f t="shared" si="52"/>
        <v>0</v>
      </c>
      <c r="AV36" s="597">
        <f t="shared" si="53"/>
        <v>0</v>
      </c>
      <c r="AW36" s="597">
        <f t="shared" si="54"/>
        <v>0</v>
      </c>
      <c r="AX36" s="597">
        <f t="shared" si="55"/>
        <v>0</v>
      </c>
      <c r="AY36" s="597">
        <f t="shared" si="56"/>
        <v>0</v>
      </c>
      <c r="AZ36" s="598">
        <f t="shared" si="57"/>
        <v>0</v>
      </c>
      <c r="BA36" s="138"/>
      <c r="BB36" s="257"/>
      <c r="BC36" s="257"/>
      <c r="BD36" s="257"/>
      <c r="BE36" s="257"/>
      <c r="BF36" s="257"/>
      <c r="BG36" s="257"/>
      <c r="BH36" s="257"/>
      <c r="BI36" s="257"/>
      <c r="BJ36" s="257"/>
      <c r="BK36" s="257"/>
      <c r="BL36" s="692"/>
      <c r="BM36" s="692"/>
      <c r="BN36" s="254"/>
      <c r="BO36" s="550" t="s">
        <v>175</v>
      </c>
      <c r="BP36" s="254"/>
      <c r="BQ36" s="256"/>
      <c r="BR36" s="29">
        <f t="shared" si="45"/>
        <v>0</v>
      </c>
      <c r="BS36"/>
      <c r="BT36"/>
      <c r="CD36" s="149"/>
    </row>
    <row r="37" spans="2:82" ht="25.5" customHeight="1" x14ac:dyDescent="0.25">
      <c r="B37" s="254"/>
      <c r="C37" s="550" t="s">
        <v>176</v>
      </c>
      <c r="D37" s="254"/>
      <c r="E37" s="256"/>
      <c r="F37" s="29">
        <f t="shared" si="36"/>
        <v>0</v>
      </c>
      <c r="G37" s="257"/>
      <c r="H37" s="257"/>
      <c r="I37" s="257"/>
      <c r="J37" s="257"/>
      <c r="K37" s="257"/>
      <c r="L37" s="257"/>
      <c r="M37" s="257"/>
      <c r="N37" s="257"/>
      <c r="O37" s="257"/>
      <c r="P37" s="257"/>
      <c r="Q37" s="800"/>
      <c r="R37" s="800"/>
      <c r="S37" s="800"/>
      <c r="T37" s="800"/>
      <c r="U37" s="800"/>
      <c r="V37" s="800"/>
      <c r="W37" s="800"/>
      <c r="X37" s="800"/>
      <c r="Y37" s="800"/>
      <c r="Z37" s="800"/>
      <c r="AA37" s="800"/>
      <c r="AB37" s="800"/>
      <c r="AC37" s="800"/>
      <c r="AD37" s="26">
        <f t="shared" si="37"/>
        <v>0</v>
      </c>
      <c r="AE37" s="26">
        <f t="shared" si="38"/>
        <v>0</v>
      </c>
      <c r="AF37" s="26">
        <f t="shared" si="39"/>
        <v>0</v>
      </c>
      <c r="AG37" s="26">
        <f t="shared" si="40"/>
        <v>0</v>
      </c>
      <c r="AH37" s="26">
        <f t="shared" si="41"/>
        <v>0</v>
      </c>
      <c r="AI37" s="26">
        <f t="shared" si="42"/>
        <v>0</v>
      </c>
      <c r="AJ37" s="26">
        <f t="shared" si="42"/>
        <v>0</v>
      </c>
      <c r="AK37" s="26">
        <f t="shared" si="42"/>
        <v>0</v>
      </c>
      <c r="AL37" s="26">
        <f t="shared" si="42"/>
        <v>0</v>
      </c>
      <c r="AM37" s="26">
        <f t="shared" si="42"/>
        <v>0</v>
      </c>
      <c r="AN37" s="68">
        <f t="shared" si="46"/>
        <v>0</v>
      </c>
      <c r="AO37" s="517">
        <f t="shared" si="43"/>
        <v>0</v>
      </c>
      <c r="AP37" s="596">
        <f t="shared" si="47"/>
        <v>0</v>
      </c>
      <c r="AQ37" s="597">
        <f t="shared" si="48"/>
        <v>0</v>
      </c>
      <c r="AR37" s="597">
        <f t="shared" si="49"/>
        <v>0</v>
      </c>
      <c r="AS37" s="597">
        <f t="shared" si="50"/>
        <v>0</v>
      </c>
      <c r="AT37" s="597">
        <f t="shared" si="51"/>
        <v>0</v>
      </c>
      <c r="AU37" s="597">
        <f t="shared" si="52"/>
        <v>0</v>
      </c>
      <c r="AV37" s="597">
        <f t="shared" si="53"/>
        <v>0</v>
      </c>
      <c r="AW37" s="597">
        <f t="shared" si="54"/>
        <v>0</v>
      </c>
      <c r="AX37" s="597">
        <f t="shared" si="55"/>
        <v>0</v>
      </c>
      <c r="AY37" s="597">
        <f t="shared" si="56"/>
        <v>0</v>
      </c>
      <c r="AZ37" s="598">
        <f t="shared" si="57"/>
        <v>0</v>
      </c>
      <c r="BA37" s="138"/>
      <c r="BB37" s="257"/>
      <c r="BC37" s="257"/>
      <c r="BD37" s="257"/>
      <c r="BE37" s="257"/>
      <c r="BF37" s="257"/>
      <c r="BG37" s="257"/>
      <c r="BH37" s="257"/>
      <c r="BI37" s="257"/>
      <c r="BJ37" s="257"/>
      <c r="BK37" s="257"/>
      <c r="BL37" s="692"/>
      <c r="BM37" s="692"/>
      <c r="BN37" s="254"/>
      <c r="BO37" s="550" t="s">
        <v>176</v>
      </c>
      <c r="BP37" s="254"/>
      <c r="BQ37" s="256"/>
      <c r="BR37" s="29">
        <f t="shared" si="45"/>
        <v>0</v>
      </c>
      <c r="BS37"/>
      <c r="BT37"/>
      <c r="CD37" s="149"/>
    </row>
    <row r="38" spans="2:82" ht="25.5" customHeight="1" x14ac:dyDescent="0.25">
      <c r="B38" s="254"/>
      <c r="C38" s="550" t="s">
        <v>177</v>
      </c>
      <c r="D38" s="254"/>
      <c r="E38" s="256"/>
      <c r="F38" s="29">
        <f t="shared" si="36"/>
        <v>0</v>
      </c>
      <c r="G38" s="257"/>
      <c r="H38" s="257"/>
      <c r="I38" s="257"/>
      <c r="J38" s="257"/>
      <c r="K38" s="257"/>
      <c r="L38" s="257"/>
      <c r="M38" s="257"/>
      <c r="N38" s="257"/>
      <c r="O38" s="257"/>
      <c r="P38" s="257"/>
      <c r="Q38" s="800"/>
      <c r="R38" s="800"/>
      <c r="S38" s="800"/>
      <c r="T38" s="800"/>
      <c r="U38" s="800"/>
      <c r="V38" s="800"/>
      <c r="W38" s="800"/>
      <c r="X38" s="800"/>
      <c r="Y38" s="800"/>
      <c r="Z38" s="800"/>
      <c r="AA38" s="800"/>
      <c r="AB38" s="800"/>
      <c r="AC38" s="800"/>
      <c r="AD38" s="26">
        <f t="shared" si="37"/>
        <v>0</v>
      </c>
      <c r="AE38" s="26">
        <f t="shared" si="38"/>
        <v>0</v>
      </c>
      <c r="AF38" s="26">
        <f t="shared" si="39"/>
        <v>0</v>
      </c>
      <c r="AG38" s="26">
        <f t="shared" si="40"/>
        <v>0</v>
      </c>
      <c r="AH38" s="26">
        <f t="shared" si="41"/>
        <v>0</v>
      </c>
      <c r="AI38" s="26">
        <f t="shared" si="42"/>
        <v>0</v>
      </c>
      <c r="AJ38" s="26">
        <f t="shared" si="42"/>
        <v>0</v>
      </c>
      <c r="AK38" s="26">
        <f t="shared" si="42"/>
        <v>0</v>
      </c>
      <c r="AL38" s="26">
        <f t="shared" si="42"/>
        <v>0</v>
      </c>
      <c r="AM38" s="26">
        <f t="shared" si="42"/>
        <v>0</v>
      </c>
      <c r="AN38" s="68">
        <f t="shared" si="46"/>
        <v>0</v>
      </c>
      <c r="AO38" s="517">
        <f t="shared" si="43"/>
        <v>0</v>
      </c>
      <c r="AP38" s="596">
        <f t="shared" si="47"/>
        <v>0</v>
      </c>
      <c r="AQ38" s="597">
        <f t="shared" si="48"/>
        <v>0</v>
      </c>
      <c r="AR38" s="597">
        <f t="shared" si="49"/>
        <v>0</v>
      </c>
      <c r="AS38" s="597">
        <f t="shared" si="50"/>
        <v>0</v>
      </c>
      <c r="AT38" s="597">
        <f t="shared" si="51"/>
        <v>0</v>
      </c>
      <c r="AU38" s="597">
        <f t="shared" si="52"/>
        <v>0</v>
      </c>
      <c r="AV38" s="597">
        <f t="shared" si="53"/>
        <v>0</v>
      </c>
      <c r="AW38" s="597">
        <f t="shared" si="54"/>
        <v>0</v>
      </c>
      <c r="AX38" s="597">
        <f t="shared" si="55"/>
        <v>0</v>
      </c>
      <c r="AY38" s="597">
        <f t="shared" si="56"/>
        <v>0</v>
      </c>
      <c r="AZ38" s="598">
        <f t="shared" si="57"/>
        <v>0</v>
      </c>
      <c r="BA38" s="138"/>
      <c r="BB38" s="257"/>
      <c r="BC38" s="257"/>
      <c r="BD38" s="257"/>
      <c r="BE38" s="257"/>
      <c r="BF38" s="257"/>
      <c r="BG38" s="257"/>
      <c r="BH38" s="257"/>
      <c r="BI38" s="257"/>
      <c r="BJ38" s="257"/>
      <c r="BK38" s="257"/>
      <c r="BL38" s="692"/>
      <c r="BM38" s="692"/>
      <c r="BN38" s="254"/>
      <c r="BO38" s="550" t="s">
        <v>177</v>
      </c>
      <c r="BP38" s="254"/>
      <c r="BQ38" s="256"/>
      <c r="BR38" s="29">
        <f t="shared" si="45"/>
        <v>0</v>
      </c>
      <c r="BS38"/>
      <c r="BT38"/>
      <c r="CD38" s="149"/>
    </row>
    <row r="39" spans="2:82" ht="25.5" customHeight="1" x14ac:dyDescent="0.25">
      <c r="B39" s="254"/>
      <c r="C39" s="550" t="s">
        <v>178</v>
      </c>
      <c r="D39" s="254"/>
      <c r="E39" s="256"/>
      <c r="F39" s="29">
        <f t="shared" si="36"/>
        <v>0</v>
      </c>
      <c r="G39" s="257"/>
      <c r="H39" s="257"/>
      <c r="I39" s="257"/>
      <c r="J39" s="257"/>
      <c r="K39" s="257"/>
      <c r="L39" s="257"/>
      <c r="M39" s="257"/>
      <c r="N39" s="257"/>
      <c r="O39" s="257"/>
      <c r="P39" s="257"/>
      <c r="Q39" s="800"/>
      <c r="R39" s="800"/>
      <c r="S39" s="800"/>
      <c r="T39" s="800"/>
      <c r="U39" s="800"/>
      <c r="V39" s="800"/>
      <c r="W39" s="800"/>
      <c r="X39" s="800"/>
      <c r="Y39" s="800"/>
      <c r="Z39" s="800"/>
      <c r="AA39" s="800"/>
      <c r="AB39" s="800"/>
      <c r="AC39" s="800"/>
      <c r="AD39" s="26">
        <f t="shared" si="37"/>
        <v>0</v>
      </c>
      <c r="AE39" s="26">
        <f t="shared" si="38"/>
        <v>0</v>
      </c>
      <c r="AF39" s="26">
        <f t="shared" si="39"/>
        <v>0</v>
      </c>
      <c r="AG39" s="26">
        <f t="shared" si="40"/>
        <v>0</v>
      </c>
      <c r="AH39" s="26">
        <f t="shared" si="41"/>
        <v>0</v>
      </c>
      <c r="AI39" s="26">
        <f t="shared" si="42"/>
        <v>0</v>
      </c>
      <c r="AJ39" s="26">
        <f t="shared" si="42"/>
        <v>0</v>
      </c>
      <c r="AK39" s="26">
        <f t="shared" si="42"/>
        <v>0</v>
      </c>
      <c r="AL39" s="26">
        <f t="shared" si="42"/>
        <v>0</v>
      </c>
      <c r="AM39" s="26">
        <f t="shared" si="42"/>
        <v>0</v>
      </c>
      <c r="AN39" s="68">
        <f t="shared" si="46"/>
        <v>0</v>
      </c>
      <c r="AO39" s="517">
        <f t="shared" si="43"/>
        <v>0</v>
      </c>
      <c r="AP39" s="596">
        <f t="shared" si="47"/>
        <v>0</v>
      </c>
      <c r="AQ39" s="597">
        <f t="shared" si="48"/>
        <v>0</v>
      </c>
      <c r="AR39" s="597">
        <f t="shared" si="49"/>
        <v>0</v>
      </c>
      <c r="AS39" s="597">
        <f t="shared" si="50"/>
        <v>0</v>
      </c>
      <c r="AT39" s="597">
        <f t="shared" si="51"/>
        <v>0</v>
      </c>
      <c r="AU39" s="597">
        <f t="shared" si="52"/>
        <v>0</v>
      </c>
      <c r="AV39" s="597">
        <f t="shared" si="53"/>
        <v>0</v>
      </c>
      <c r="AW39" s="597">
        <f t="shared" si="54"/>
        <v>0</v>
      </c>
      <c r="AX39" s="597">
        <f t="shared" si="55"/>
        <v>0</v>
      </c>
      <c r="AY39" s="597">
        <f t="shared" si="56"/>
        <v>0</v>
      </c>
      <c r="AZ39" s="598">
        <f t="shared" si="57"/>
        <v>0</v>
      </c>
      <c r="BA39" s="138"/>
      <c r="BB39" s="257"/>
      <c r="BC39" s="257"/>
      <c r="BD39" s="257"/>
      <c r="BE39" s="257"/>
      <c r="BF39" s="257"/>
      <c r="BG39" s="257"/>
      <c r="BH39" s="257"/>
      <c r="BI39" s="257"/>
      <c r="BJ39" s="257"/>
      <c r="BK39" s="257"/>
      <c r="BL39" s="692"/>
      <c r="BM39" s="692"/>
      <c r="BN39" s="254"/>
      <c r="BO39" s="550" t="s">
        <v>178</v>
      </c>
      <c r="BP39" s="254"/>
      <c r="BQ39" s="256"/>
      <c r="BR39" s="29">
        <f t="shared" si="45"/>
        <v>0</v>
      </c>
      <c r="BS39"/>
      <c r="BT39"/>
      <c r="CD39" s="149"/>
    </row>
    <row r="40" spans="2:82" ht="25.5" customHeight="1" x14ac:dyDescent="0.25">
      <c r="B40" s="254"/>
      <c r="C40" s="550"/>
      <c r="D40" s="254"/>
      <c r="E40" s="256"/>
      <c r="F40" s="29">
        <f t="shared" si="36"/>
        <v>0</v>
      </c>
      <c r="G40" s="257"/>
      <c r="H40" s="257"/>
      <c r="I40" s="257"/>
      <c r="J40" s="257"/>
      <c r="K40" s="257"/>
      <c r="L40" s="257"/>
      <c r="M40" s="257"/>
      <c r="N40" s="257"/>
      <c r="O40" s="257"/>
      <c r="P40" s="257"/>
      <c r="Q40" s="800"/>
      <c r="R40" s="800"/>
      <c r="S40" s="800"/>
      <c r="T40" s="800"/>
      <c r="U40" s="800"/>
      <c r="V40" s="800"/>
      <c r="W40" s="800"/>
      <c r="X40" s="800"/>
      <c r="Y40" s="800"/>
      <c r="Z40" s="800"/>
      <c r="AA40" s="800"/>
      <c r="AB40" s="800"/>
      <c r="AC40" s="800"/>
      <c r="AD40" s="26">
        <f t="shared" si="37"/>
        <v>0</v>
      </c>
      <c r="AE40" s="26">
        <f t="shared" si="38"/>
        <v>0</v>
      </c>
      <c r="AF40" s="26">
        <f t="shared" si="39"/>
        <v>0</v>
      </c>
      <c r="AG40" s="26">
        <f t="shared" si="40"/>
        <v>0</v>
      </c>
      <c r="AH40" s="26">
        <f t="shared" si="41"/>
        <v>0</v>
      </c>
      <c r="AI40" s="26">
        <f t="shared" si="42"/>
        <v>0</v>
      </c>
      <c r="AJ40" s="26">
        <f t="shared" si="42"/>
        <v>0</v>
      </c>
      <c r="AK40" s="26">
        <f t="shared" si="42"/>
        <v>0</v>
      </c>
      <c r="AL40" s="26">
        <f t="shared" si="42"/>
        <v>0</v>
      </c>
      <c r="AM40" s="26">
        <f t="shared" si="42"/>
        <v>0</v>
      </c>
      <c r="AN40" s="68">
        <f t="shared" si="46"/>
        <v>0</v>
      </c>
      <c r="AO40" s="517">
        <f t="shared" si="43"/>
        <v>0</v>
      </c>
      <c r="AP40" s="596">
        <f t="shared" si="47"/>
        <v>0</v>
      </c>
      <c r="AQ40" s="597">
        <f t="shared" si="48"/>
        <v>0</v>
      </c>
      <c r="AR40" s="597">
        <f t="shared" si="49"/>
        <v>0</v>
      </c>
      <c r="AS40" s="597">
        <f t="shared" si="50"/>
        <v>0</v>
      </c>
      <c r="AT40" s="597">
        <f t="shared" si="51"/>
        <v>0</v>
      </c>
      <c r="AU40" s="597">
        <f t="shared" si="52"/>
        <v>0</v>
      </c>
      <c r="AV40" s="597">
        <f t="shared" si="53"/>
        <v>0</v>
      </c>
      <c r="AW40" s="597">
        <f t="shared" si="54"/>
        <v>0</v>
      </c>
      <c r="AX40" s="597">
        <f t="shared" si="55"/>
        <v>0</v>
      </c>
      <c r="AY40" s="597">
        <f t="shared" si="56"/>
        <v>0</v>
      </c>
      <c r="AZ40" s="598">
        <f t="shared" si="57"/>
        <v>0</v>
      </c>
      <c r="BA40" s="138"/>
      <c r="BB40" s="257"/>
      <c r="BC40" s="257"/>
      <c r="BD40" s="257"/>
      <c r="BE40" s="257"/>
      <c r="BF40" s="257"/>
      <c r="BG40" s="257"/>
      <c r="BH40" s="257"/>
      <c r="BI40" s="257"/>
      <c r="BJ40" s="257"/>
      <c r="BK40" s="257"/>
      <c r="BL40" s="692"/>
      <c r="BM40" s="692"/>
      <c r="BN40" s="254"/>
      <c r="BO40" s="550"/>
      <c r="BP40" s="254"/>
      <c r="BQ40" s="256"/>
      <c r="BR40" s="29">
        <f t="shared" si="45"/>
        <v>0</v>
      </c>
      <c r="BS40"/>
      <c r="BT40"/>
      <c r="CD40" s="149"/>
    </row>
    <row r="41" spans="2:82" ht="25.5" customHeight="1" x14ac:dyDescent="0.25">
      <c r="B41" s="254"/>
      <c r="C41" s="550"/>
      <c r="D41" s="254"/>
      <c r="E41" s="256"/>
      <c r="F41" s="29">
        <f t="shared" si="36"/>
        <v>0</v>
      </c>
      <c r="G41" s="257"/>
      <c r="H41" s="257"/>
      <c r="I41" s="257"/>
      <c r="J41" s="257"/>
      <c r="K41" s="257"/>
      <c r="L41" s="257"/>
      <c r="M41" s="257"/>
      <c r="N41" s="257"/>
      <c r="O41" s="257"/>
      <c r="P41" s="257"/>
      <c r="Q41" s="800"/>
      <c r="R41" s="800"/>
      <c r="S41" s="800"/>
      <c r="T41" s="800"/>
      <c r="U41" s="800"/>
      <c r="V41" s="800"/>
      <c r="W41" s="800"/>
      <c r="X41" s="800"/>
      <c r="Y41" s="800"/>
      <c r="Z41" s="800"/>
      <c r="AA41" s="800"/>
      <c r="AB41" s="800"/>
      <c r="AC41" s="800"/>
      <c r="AD41" s="26">
        <f t="shared" si="37"/>
        <v>0</v>
      </c>
      <c r="AE41" s="26">
        <f t="shared" si="38"/>
        <v>0</v>
      </c>
      <c r="AF41" s="26">
        <f t="shared" si="39"/>
        <v>0</v>
      </c>
      <c r="AG41" s="26">
        <f t="shared" si="40"/>
        <v>0</v>
      </c>
      <c r="AH41" s="26">
        <f t="shared" si="41"/>
        <v>0</v>
      </c>
      <c r="AI41" s="26">
        <f t="shared" si="42"/>
        <v>0</v>
      </c>
      <c r="AJ41" s="26">
        <f t="shared" si="42"/>
        <v>0</v>
      </c>
      <c r="AK41" s="26">
        <f t="shared" si="42"/>
        <v>0</v>
      </c>
      <c r="AL41" s="26">
        <f t="shared" si="42"/>
        <v>0</v>
      </c>
      <c r="AM41" s="26">
        <f t="shared" si="42"/>
        <v>0</v>
      </c>
      <c r="AN41" s="68">
        <f t="shared" si="46"/>
        <v>0</v>
      </c>
      <c r="AO41" s="517">
        <f t="shared" si="43"/>
        <v>0</v>
      </c>
      <c r="AP41" s="596">
        <f t="shared" si="47"/>
        <v>0</v>
      </c>
      <c r="AQ41" s="597">
        <f t="shared" si="48"/>
        <v>0</v>
      </c>
      <c r="AR41" s="597">
        <f t="shared" si="49"/>
        <v>0</v>
      </c>
      <c r="AS41" s="597">
        <f t="shared" si="50"/>
        <v>0</v>
      </c>
      <c r="AT41" s="597">
        <f t="shared" si="51"/>
        <v>0</v>
      </c>
      <c r="AU41" s="597">
        <f t="shared" si="52"/>
        <v>0</v>
      </c>
      <c r="AV41" s="597">
        <f t="shared" si="53"/>
        <v>0</v>
      </c>
      <c r="AW41" s="597">
        <f t="shared" si="54"/>
        <v>0</v>
      </c>
      <c r="AX41" s="597">
        <f t="shared" si="55"/>
        <v>0</v>
      </c>
      <c r="AY41" s="597">
        <f t="shared" si="56"/>
        <v>0</v>
      </c>
      <c r="AZ41" s="598">
        <f t="shared" si="57"/>
        <v>0</v>
      </c>
      <c r="BA41" s="138"/>
      <c r="BB41" s="257"/>
      <c r="BC41" s="257"/>
      <c r="BD41" s="257"/>
      <c r="BE41" s="257"/>
      <c r="BF41" s="257"/>
      <c r="BG41" s="257"/>
      <c r="BH41" s="257"/>
      <c r="BI41" s="257"/>
      <c r="BJ41" s="257"/>
      <c r="BK41" s="257"/>
      <c r="BL41" s="692"/>
      <c r="BM41" s="692"/>
      <c r="BN41" s="254"/>
      <c r="BO41" s="550"/>
      <c r="BP41" s="254"/>
      <c r="BQ41" s="256"/>
      <c r="BR41" s="29">
        <f t="shared" si="45"/>
        <v>0</v>
      </c>
      <c r="BS41"/>
      <c r="BT41"/>
      <c r="CD41" s="149"/>
    </row>
    <row r="42" spans="2:82" ht="25.5" customHeight="1" x14ac:dyDescent="0.25">
      <c r="B42" s="254"/>
      <c r="C42" s="550"/>
      <c r="D42" s="254"/>
      <c r="E42" s="256"/>
      <c r="F42" s="29">
        <f t="shared" si="36"/>
        <v>0</v>
      </c>
      <c r="G42" s="257"/>
      <c r="H42" s="257"/>
      <c r="I42" s="257"/>
      <c r="J42" s="257"/>
      <c r="K42" s="257"/>
      <c r="L42" s="257"/>
      <c r="M42" s="257"/>
      <c r="N42" s="257"/>
      <c r="O42" s="257"/>
      <c r="P42" s="257"/>
      <c r="Q42" s="800"/>
      <c r="R42" s="800"/>
      <c r="S42" s="800"/>
      <c r="T42" s="800"/>
      <c r="U42" s="800"/>
      <c r="V42" s="800"/>
      <c r="W42" s="800"/>
      <c r="X42" s="800"/>
      <c r="Y42" s="800"/>
      <c r="Z42" s="800"/>
      <c r="AA42" s="800"/>
      <c r="AB42" s="800"/>
      <c r="AC42" s="800"/>
      <c r="AD42" s="26">
        <f t="shared" si="37"/>
        <v>0</v>
      </c>
      <c r="AE42" s="26">
        <f t="shared" si="38"/>
        <v>0</v>
      </c>
      <c r="AF42" s="26">
        <f t="shared" si="39"/>
        <v>0</v>
      </c>
      <c r="AG42" s="26">
        <f t="shared" si="40"/>
        <v>0</v>
      </c>
      <c r="AH42" s="26">
        <f t="shared" si="41"/>
        <v>0</v>
      </c>
      <c r="AI42" s="26">
        <f t="shared" si="42"/>
        <v>0</v>
      </c>
      <c r="AJ42" s="26">
        <f t="shared" si="42"/>
        <v>0</v>
      </c>
      <c r="AK42" s="26">
        <f t="shared" si="42"/>
        <v>0</v>
      </c>
      <c r="AL42" s="26">
        <f t="shared" si="42"/>
        <v>0</v>
      </c>
      <c r="AM42" s="26">
        <f t="shared" si="42"/>
        <v>0</v>
      </c>
      <c r="AN42" s="68">
        <f t="shared" si="46"/>
        <v>0</v>
      </c>
      <c r="AO42" s="517">
        <f t="shared" si="43"/>
        <v>0</v>
      </c>
      <c r="AP42" s="596">
        <f t="shared" si="47"/>
        <v>0</v>
      </c>
      <c r="AQ42" s="597">
        <f t="shared" si="48"/>
        <v>0</v>
      </c>
      <c r="AR42" s="597">
        <f t="shared" si="49"/>
        <v>0</v>
      </c>
      <c r="AS42" s="597">
        <f t="shared" si="50"/>
        <v>0</v>
      </c>
      <c r="AT42" s="597">
        <f t="shared" si="51"/>
        <v>0</v>
      </c>
      <c r="AU42" s="597">
        <f t="shared" si="52"/>
        <v>0</v>
      </c>
      <c r="AV42" s="597">
        <f t="shared" si="53"/>
        <v>0</v>
      </c>
      <c r="AW42" s="597">
        <f t="shared" si="54"/>
        <v>0</v>
      </c>
      <c r="AX42" s="597">
        <f t="shared" si="55"/>
        <v>0</v>
      </c>
      <c r="AY42" s="597">
        <f t="shared" si="56"/>
        <v>0</v>
      </c>
      <c r="AZ42" s="598">
        <f t="shared" si="57"/>
        <v>0</v>
      </c>
      <c r="BA42" s="138"/>
      <c r="BB42" s="257"/>
      <c r="BC42" s="257"/>
      <c r="BD42" s="257"/>
      <c r="BE42" s="257"/>
      <c r="BF42" s="257"/>
      <c r="BG42" s="257"/>
      <c r="BH42" s="257"/>
      <c r="BI42" s="257"/>
      <c r="BJ42" s="257"/>
      <c r="BK42" s="257"/>
      <c r="BL42" s="692"/>
      <c r="BM42" s="692"/>
      <c r="BN42" s="254"/>
      <c r="BO42" s="550"/>
      <c r="BP42" s="254"/>
      <c r="BQ42" s="256"/>
      <c r="BR42" s="29">
        <f t="shared" si="45"/>
        <v>0</v>
      </c>
      <c r="BS42"/>
      <c r="BT42"/>
      <c r="CD42" s="149"/>
    </row>
    <row r="43" spans="2:82" ht="25.5" customHeight="1" x14ac:dyDescent="0.25">
      <c r="B43" s="254"/>
      <c r="C43" s="550"/>
      <c r="D43" s="254"/>
      <c r="E43" s="256"/>
      <c r="F43" s="29">
        <f t="shared" si="36"/>
        <v>0</v>
      </c>
      <c r="G43" s="257"/>
      <c r="H43" s="257"/>
      <c r="I43" s="257"/>
      <c r="J43" s="257"/>
      <c r="K43" s="257"/>
      <c r="L43" s="257"/>
      <c r="M43" s="257"/>
      <c r="N43" s="257"/>
      <c r="O43" s="257"/>
      <c r="P43" s="257"/>
      <c r="Q43" s="800"/>
      <c r="R43" s="800"/>
      <c r="S43" s="800"/>
      <c r="T43" s="800"/>
      <c r="U43" s="800"/>
      <c r="V43" s="800"/>
      <c r="W43" s="800"/>
      <c r="X43" s="800"/>
      <c r="Y43" s="800"/>
      <c r="Z43" s="800"/>
      <c r="AA43" s="800"/>
      <c r="AB43" s="800"/>
      <c r="AC43" s="800"/>
      <c r="AD43" s="26">
        <f t="shared" si="37"/>
        <v>0</v>
      </c>
      <c r="AE43" s="26">
        <f t="shared" si="38"/>
        <v>0</v>
      </c>
      <c r="AF43" s="26">
        <f t="shared" si="39"/>
        <v>0</v>
      </c>
      <c r="AG43" s="26">
        <f t="shared" si="40"/>
        <v>0</v>
      </c>
      <c r="AH43" s="26">
        <f t="shared" si="41"/>
        <v>0</v>
      </c>
      <c r="AI43" s="26">
        <f t="shared" si="42"/>
        <v>0</v>
      </c>
      <c r="AJ43" s="26">
        <f t="shared" si="42"/>
        <v>0</v>
      </c>
      <c r="AK43" s="26">
        <f t="shared" si="42"/>
        <v>0</v>
      </c>
      <c r="AL43" s="26">
        <f t="shared" si="42"/>
        <v>0</v>
      </c>
      <c r="AM43" s="26">
        <f t="shared" si="42"/>
        <v>0</v>
      </c>
      <c r="AN43" s="68">
        <f t="shared" si="46"/>
        <v>0</v>
      </c>
      <c r="AO43" s="517">
        <f t="shared" si="43"/>
        <v>0</v>
      </c>
      <c r="AP43" s="596">
        <f t="shared" si="47"/>
        <v>0</v>
      </c>
      <c r="AQ43" s="597">
        <f t="shared" si="48"/>
        <v>0</v>
      </c>
      <c r="AR43" s="597">
        <f t="shared" si="49"/>
        <v>0</v>
      </c>
      <c r="AS43" s="597">
        <f t="shared" si="50"/>
        <v>0</v>
      </c>
      <c r="AT43" s="597">
        <f t="shared" si="51"/>
        <v>0</v>
      </c>
      <c r="AU43" s="597">
        <f t="shared" si="52"/>
        <v>0</v>
      </c>
      <c r="AV43" s="597">
        <f t="shared" si="53"/>
        <v>0</v>
      </c>
      <c r="AW43" s="597">
        <f t="shared" si="54"/>
        <v>0</v>
      </c>
      <c r="AX43" s="597">
        <f t="shared" si="55"/>
        <v>0</v>
      </c>
      <c r="AY43" s="597">
        <f t="shared" si="56"/>
        <v>0</v>
      </c>
      <c r="AZ43" s="598">
        <f t="shared" si="57"/>
        <v>0</v>
      </c>
      <c r="BA43" s="138"/>
      <c r="BB43" s="257"/>
      <c r="BC43" s="257"/>
      <c r="BD43" s="257"/>
      <c r="BE43" s="257"/>
      <c r="BF43" s="257"/>
      <c r="BG43" s="257"/>
      <c r="BH43" s="257"/>
      <c r="BI43" s="257"/>
      <c r="BJ43" s="257"/>
      <c r="BK43" s="257"/>
      <c r="BL43" s="692"/>
      <c r="BM43" s="692"/>
      <c r="BN43" s="254"/>
      <c r="BO43" s="550"/>
      <c r="BP43" s="254"/>
      <c r="BQ43" s="256"/>
      <c r="BR43" s="29">
        <f t="shared" si="45"/>
        <v>0</v>
      </c>
      <c r="BS43"/>
      <c r="BT43"/>
      <c r="CD43" s="149"/>
    </row>
    <row r="44" spans="2:82" ht="25.5" hidden="1" customHeight="1" outlineLevel="1" x14ac:dyDescent="0.25">
      <c r="B44" s="254"/>
      <c r="C44" s="550"/>
      <c r="D44" s="254"/>
      <c r="E44" s="256"/>
      <c r="F44" s="29">
        <f t="shared" si="36"/>
        <v>0</v>
      </c>
      <c r="G44" s="257"/>
      <c r="H44" s="257"/>
      <c r="I44" s="257"/>
      <c r="J44" s="257"/>
      <c r="K44" s="257"/>
      <c r="L44" s="257"/>
      <c r="M44" s="257"/>
      <c r="N44" s="257"/>
      <c r="O44" s="257"/>
      <c r="P44" s="257"/>
      <c r="Q44" s="800"/>
      <c r="R44" s="800"/>
      <c r="S44" s="800"/>
      <c r="T44" s="800"/>
      <c r="U44" s="800"/>
      <c r="V44" s="800"/>
      <c r="W44" s="800"/>
      <c r="X44" s="800"/>
      <c r="Y44" s="800"/>
      <c r="Z44" s="800"/>
      <c r="AA44" s="800"/>
      <c r="AB44" s="800"/>
      <c r="AC44" s="800"/>
      <c r="AD44" s="26">
        <f t="shared" si="37"/>
        <v>0</v>
      </c>
      <c r="AE44" s="26">
        <f t="shared" si="38"/>
        <v>0</v>
      </c>
      <c r="AF44" s="26">
        <f t="shared" si="39"/>
        <v>0</v>
      </c>
      <c r="AG44" s="26">
        <f t="shared" si="40"/>
        <v>0</v>
      </c>
      <c r="AH44" s="26">
        <f t="shared" si="41"/>
        <v>0</v>
      </c>
      <c r="AI44" s="26">
        <f t="shared" si="42"/>
        <v>0</v>
      </c>
      <c r="AJ44" s="26">
        <f t="shared" si="42"/>
        <v>0</v>
      </c>
      <c r="AK44" s="26">
        <f t="shared" si="42"/>
        <v>0</v>
      </c>
      <c r="AL44" s="26">
        <f t="shared" si="42"/>
        <v>0</v>
      </c>
      <c r="AM44" s="26">
        <f t="shared" si="42"/>
        <v>0</v>
      </c>
      <c r="AN44" s="68">
        <f>SUM(AD44:AM44)</f>
        <v>0</v>
      </c>
      <c r="AO44" s="231">
        <f t="shared" si="43"/>
        <v>0</v>
      </c>
      <c r="AP44" s="597">
        <f t="shared" si="47"/>
        <v>0</v>
      </c>
      <c r="AQ44" s="597">
        <f t="shared" si="48"/>
        <v>0</v>
      </c>
      <c r="AR44" s="597">
        <f t="shared" si="49"/>
        <v>0</v>
      </c>
      <c r="AS44" s="597">
        <f t="shared" si="50"/>
        <v>0</v>
      </c>
      <c r="AT44" s="597">
        <f t="shared" si="51"/>
        <v>0</v>
      </c>
      <c r="AU44" s="597">
        <f t="shared" si="52"/>
        <v>0</v>
      </c>
      <c r="AV44" s="597">
        <f t="shared" si="53"/>
        <v>0</v>
      </c>
      <c r="AW44" s="597">
        <f t="shared" si="54"/>
        <v>0</v>
      </c>
      <c r="AX44" s="597">
        <f t="shared" si="55"/>
        <v>0</v>
      </c>
      <c r="AY44" s="597">
        <f t="shared" si="56"/>
        <v>0</v>
      </c>
      <c r="AZ44" s="598">
        <f t="shared" si="57"/>
        <v>0</v>
      </c>
      <c r="BA44" s="138"/>
      <c r="BB44" s="257"/>
      <c r="BC44" s="257"/>
      <c r="BD44" s="257"/>
      <c r="BE44" s="257"/>
      <c r="BF44" s="257"/>
      <c r="BG44" s="257"/>
      <c r="BH44" s="257"/>
      <c r="BI44" s="257"/>
      <c r="BJ44" s="257"/>
      <c r="BK44" s="257"/>
      <c r="BL44" s="692"/>
      <c r="BM44" s="692"/>
      <c r="BN44" s="254"/>
      <c r="BO44" s="550"/>
      <c r="BP44" s="254"/>
      <c r="BQ44" s="256"/>
      <c r="BR44" s="29">
        <f t="shared" si="45"/>
        <v>0</v>
      </c>
      <c r="BS44"/>
      <c r="BT44"/>
      <c r="CD44" s="149"/>
    </row>
    <row r="45" spans="2:82" ht="25.5" hidden="1" customHeight="1" outlineLevel="1" x14ac:dyDescent="0.25">
      <c r="B45" s="254"/>
      <c r="C45" s="550"/>
      <c r="D45" s="254"/>
      <c r="E45" s="256"/>
      <c r="F45" s="29">
        <f t="shared" si="36"/>
        <v>0</v>
      </c>
      <c r="G45" s="257"/>
      <c r="H45" s="257"/>
      <c r="I45" s="257"/>
      <c r="J45" s="257"/>
      <c r="K45" s="257"/>
      <c r="L45" s="257"/>
      <c r="M45" s="257"/>
      <c r="N45" s="257"/>
      <c r="O45" s="257"/>
      <c r="P45" s="257"/>
      <c r="Q45" s="800"/>
      <c r="R45" s="800"/>
      <c r="S45" s="800"/>
      <c r="T45" s="800"/>
      <c r="U45" s="800"/>
      <c r="V45" s="800"/>
      <c r="W45" s="800"/>
      <c r="X45" s="800"/>
      <c r="Y45" s="800"/>
      <c r="Z45" s="800"/>
      <c r="AA45" s="800"/>
      <c r="AB45" s="800"/>
      <c r="AC45" s="800"/>
      <c r="AD45" s="26">
        <f t="shared" si="37"/>
        <v>0</v>
      </c>
      <c r="AE45" s="26">
        <f t="shared" si="38"/>
        <v>0</v>
      </c>
      <c r="AF45" s="26">
        <f t="shared" si="39"/>
        <v>0</v>
      </c>
      <c r="AG45" s="26">
        <f t="shared" si="40"/>
        <v>0</v>
      </c>
      <c r="AH45" s="26">
        <f t="shared" si="41"/>
        <v>0</v>
      </c>
      <c r="AI45" s="26">
        <f t="shared" si="42"/>
        <v>0</v>
      </c>
      <c r="AJ45" s="26">
        <f t="shared" si="42"/>
        <v>0</v>
      </c>
      <c r="AK45" s="26">
        <f t="shared" si="42"/>
        <v>0</v>
      </c>
      <c r="AL45" s="26">
        <f t="shared" si="42"/>
        <v>0</v>
      </c>
      <c r="AM45" s="26">
        <f t="shared" si="42"/>
        <v>0</v>
      </c>
      <c r="AN45" s="68">
        <f t="shared" si="46"/>
        <v>0</v>
      </c>
      <c r="AO45" s="231">
        <f t="shared" si="43"/>
        <v>0</v>
      </c>
      <c r="AP45" s="597">
        <f t="shared" si="47"/>
        <v>0</v>
      </c>
      <c r="AQ45" s="597">
        <f t="shared" si="48"/>
        <v>0</v>
      </c>
      <c r="AR45" s="597">
        <f t="shared" si="49"/>
        <v>0</v>
      </c>
      <c r="AS45" s="597">
        <f t="shared" si="50"/>
        <v>0</v>
      </c>
      <c r="AT45" s="597">
        <f t="shared" si="51"/>
        <v>0</v>
      </c>
      <c r="AU45" s="597">
        <f t="shared" si="52"/>
        <v>0</v>
      </c>
      <c r="AV45" s="597">
        <f t="shared" si="53"/>
        <v>0</v>
      </c>
      <c r="AW45" s="597">
        <f t="shared" si="54"/>
        <v>0</v>
      </c>
      <c r="AX45" s="597">
        <f t="shared" si="55"/>
        <v>0</v>
      </c>
      <c r="AY45" s="597">
        <f t="shared" si="56"/>
        <v>0</v>
      </c>
      <c r="AZ45" s="598">
        <f t="shared" si="57"/>
        <v>0</v>
      </c>
      <c r="BA45" s="138"/>
      <c r="BB45" s="257"/>
      <c r="BC45" s="257"/>
      <c r="BD45" s="257"/>
      <c r="BE45" s="257"/>
      <c r="BF45" s="257"/>
      <c r="BG45" s="257"/>
      <c r="BH45" s="257"/>
      <c r="BI45" s="257"/>
      <c r="BJ45" s="257"/>
      <c r="BK45" s="257"/>
      <c r="BL45" s="692"/>
      <c r="BM45" s="692"/>
      <c r="BN45" s="254"/>
      <c r="BO45" s="550"/>
      <c r="BP45" s="254"/>
      <c r="BQ45" s="256"/>
      <c r="BR45" s="29">
        <f t="shared" si="45"/>
        <v>0</v>
      </c>
      <c r="BS45"/>
      <c r="BT45"/>
      <c r="CD45" s="149"/>
    </row>
    <row r="46" spans="2:82" ht="25.5" hidden="1" customHeight="1" outlineLevel="1" x14ac:dyDescent="0.25">
      <c r="B46" s="254"/>
      <c r="C46" s="550"/>
      <c r="D46" s="254"/>
      <c r="E46" s="256"/>
      <c r="F46" s="29">
        <f t="shared" si="36"/>
        <v>0</v>
      </c>
      <c r="G46" s="257"/>
      <c r="H46" s="257"/>
      <c r="I46" s="257"/>
      <c r="J46" s="257"/>
      <c r="K46" s="257"/>
      <c r="L46" s="257"/>
      <c r="M46" s="257"/>
      <c r="N46" s="257"/>
      <c r="O46" s="257"/>
      <c r="P46" s="257"/>
      <c r="Q46" s="800"/>
      <c r="R46" s="800"/>
      <c r="S46" s="800"/>
      <c r="T46" s="800"/>
      <c r="U46" s="800"/>
      <c r="V46" s="800"/>
      <c r="W46" s="800"/>
      <c r="X46" s="800"/>
      <c r="Y46" s="800"/>
      <c r="Z46" s="800"/>
      <c r="AA46" s="800"/>
      <c r="AB46" s="800"/>
      <c r="AC46" s="800"/>
      <c r="AD46" s="26">
        <f t="shared" si="37"/>
        <v>0</v>
      </c>
      <c r="AE46" s="26">
        <f t="shared" si="38"/>
        <v>0</v>
      </c>
      <c r="AF46" s="26">
        <f t="shared" si="39"/>
        <v>0</v>
      </c>
      <c r="AG46" s="26">
        <f t="shared" si="40"/>
        <v>0</v>
      </c>
      <c r="AH46" s="26">
        <f t="shared" si="41"/>
        <v>0</v>
      </c>
      <c r="AI46" s="26">
        <f t="shared" si="42"/>
        <v>0</v>
      </c>
      <c r="AJ46" s="26">
        <f t="shared" si="42"/>
        <v>0</v>
      </c>
      <c r="AK46" s="26">
        <f t="shared" si="42"/>
        <v>0</v>
      </c>
      <c r="AL46" s="26">
        <f t="shared" si="42"/>
        <v>0</v>
      </c>
      <c r="AM46" s="26">
        <f t="shared" si="42"/>
        <v>0</v>
      </c>
      <c r="AN46" s="68">
        <f t="shared" si="46"/>
        <v>0</v>
      </c>
      <c r="AO46" s="231">
        <f t="shared" si="43"/>
        <v>0</v>
      </c>
      <c r="AP46" s="597">
        <f t="shared" si="47"/>
        <v>0</v>
      </c>
      <c r="AQ46" s="597">
        <f t="shared" si="48"/>
        <v>0</v>
      </c>
      <c r="AR46" s="597">
        <f t="shared" si="49"/>
        <v>0</v>
      </c>
      <c r="AS46" s="597">
        <f t="shared" si="50"/>
        <v>0</v>
      </c>
      <c r="AT46" s="597">
        <f t="shared" si="51"/>
        <v>0</v>
      </c>
      <c r="AU46" s="597">
        <f t="shared" si="52"/>
        <v>0</v>
      </c>
      <c r="AV46" s="597">
        <f t="shared" si="53"/>
        <v>0</v>
      </c>
      <c r="AW46" s="597">
        <f t="shared" si="54"/>
        <v>0</v>
      </c>
      <c r="AX46" s="597">
        <f t="shared" si="55"/>
        <v>0</v>
      </c>
      <c r="AY46" s="597">
        <f t="shared" si="56"/>
        <v>0</v>
      </c>
      <c r="AZ46" s="598">
        <f t="shared" si="57"/>
        <v>0</v>
      </c>
      <c r="BA46" s="138"/>
      <c r="BB46" s="257"/>
      <c r="BC46" s="257"/>
      <c r="BD46" s="257"/>
      <c r="BE46" s="257"/>
      <c r="BF46" s="257"/>
      <c r="BG46" s="257"/>
      <c r="BH46" s="257"/>
      <c r="BI46" s="257"/>
      <c r="BJ46" s="257"/>
      <c r="BK46" s="257"/>
      <c r="BL46" s="692"/>
      <c r="BM46" s="692"/>
      <c r="BN46" s="254"/>
      <c r="BO46" s="550"/>
      <c r="BP46" s="254"/>
      <c r="BQ46" s="256"/>
      <c r="BR46" s="29">
        <f t="shared" si="45"/>
        <v>0</v>
      </c>
      <c r="BS46"/>
      <c r="BT46"/>
      <c r="CD46" s="149"/>
    </row>
    <row r="47" spans="2:82" ht="25.5" hidden="1" customHeight="1" outlineLevel="1" x14ac:dyDescent="0.25">
      <c r="B47" s="254"/>
      <c r="C47" s="550"/>
      <c r="D47" s="254"/>
      <c r="E47" s="256"/>
      <c r="F47" s="29">
        <f t="shared" si="36"/>
        <v>0</v>
      </c>
      <c r="G47" s="257"/>
      <c r="H47" s="257"/>
      <c r="I47" s="257"/>
      <c r="J47" s="257"/>
      <c r="K47" s="257"/>
      <c r="L47" s="257"/>
      <c r="M47" s="257"/>
      <c r="N47" s="257"/>
      <c r="O47" s="257"/>
      <c r="P47" s="257"/>
      <c r="Q47" s="800"/>
      <c r="R47" s="800"/>
      <c r="S47" s="800"/>
      <c r="T47" s="800"/>
      <c r="U47" s="800"/>
      <c r="V47" s="800"/>
      <c r="W47" s="800"/>
      <c r="X47" s="800"/>
      <c r="Y47" s="800"/>
      <c r="Z47" s="800"/>
      <c r="AA47" s="800"/>
      <c r="AB47" s="800"/>
      <c r="AC47" s="800"/>
      <c r="AD47" s="26">
        <f t="shared" si="37"/>
        <v>0</v>
      </c>
      <c r="AE47" s="26">
        <f t="shared" si="38"/>
        <v>0</v>
      </c>
      <c r="AF47" s="26">
        <f t="shared" si="39"/>
        <v>0</v>
      </c>
      <c r="AG47" s="26">
        <f t="shared" si="40"/>
        <v>0</v>
      </c>
      <c r="AH47" s="26">
        <f t="shared" si="41"/>
        <v>0</v>
      </c>
      <c r="AI47" s="26">
        <f t="shared" si="42"/>
        <v>0</v>
      </c>
      <c r="AJ47" s="26">
        <f t="shared" si="42"/>
        <v>0</v>
      </c>
      <c r="AK47" s="26">
        <f t="shared" si="42"/>
        <v>0</v>
      </c>
      <c r="AL47" s="26">
        <f t="shared" si="42"/>
        <v>0</v>
      </c>
      <c r="AM47" s="26">
        <f t="shared" si="42"/>
        <v>0</v>
      </c>
      <c r="AN47" s="68">
        <f t="shared" si="46"/>
        <v>0</v>
      </c>
      <c r="AO47" s="231">
        <f t="shared" si="43"/>
        <v>0</v>
      </c>
      <c r="AP47" s="597">
        <f t="shared" ref="AP47:AP53" si="58">ROUND($BR47*$BN47*BB47,0)</f>
        <v>0</v>
      </c>
      <c r="AQ47" s="597">
        <f t="shared" ref="AQ47:AQ53" si="59">ROUND($BR47*1.03^H$2*$BN47*BC47,0)</f>
        <v>0</v>
      </c>
      <c r="AR47" s="597">
        <f t="shared" ref="AR47:AR53" si="60">ROUND($BR47*1.03^I$2*$BN47*BD47,0)</f>
        <v>0</v>
      </c>
      <c r="AS47" s="597">
        <f t="shared" ref="AS47:AS53" si="61">ROUND($BR47*1.03^J$2*$BN47*BE47,0)</f>
        <v>0</v>
      </c>
      <c r="AT47" s="597">
        <f t="shared" ref="AT47:AT53" si="62">ROUND($BR47*1.03^K$2*$BN47*BF47,0)</f>
        <v>0</v>
      </c>
      <c r="AU47" s="597">
        <f t="shared" si="52"/>
        <v>0</v>
      </c>
      <c r="AV47" s="597">
        <f t="shared" si="53"/>
        <v>0</v>
      </c>
      <c r="AW47" s="597">
        <f t="shared" si="54"/>
        <v>0</v>
      </c>
      <c r="AX47" s="597">
        <f t="shared" si="55"/>
        <v>0</v>
      </c>
      <c r="AY47" s="597">
        <f t="shared" si="56"/>
        <v>0</v>
      </c>
      <c r="AZ47" s="598">
        <f t="shared" si="57"/>
        <v>0</v>
      </c>
      <c r="BA47" s="138"/>
      <c r="BB47" s="257"/>
      <c r="BC47" s="257"/>
      <c r="BD47" s="257"/>
      <c r="BE47" s="257"/>
      <c r="BF47" s="257"/>
      <c r="BG47" s="257"/>
      <c r="BH47" s="257"/>
      <c r="BI47" s="257"/>
      <c r="BJ47" s="257"/>
      <c r="BK47" s="257"/>
      <c r="BL47" s="692"/>
      <c r="BM47" s="692"/>
      <c r="BN47" s="254"/>
      <c r="BO47" s="550"/>
      <c r="BP47" s="254"/>
      <c r="BQ47" s="256"/>
      <c r="BR47" s="29">
        <f t="shared" si="45"/>
        <v>0</v>
      </c>
      <c r="BS47"/>
      <c r="BT47"/>
      <c r="CD47" s="149"/>
    </row>
    <row r="48" spans="2:82" ht="25.5" hidden="1" customHeight="1" outlineLevel="1" x14ac:dyDescent="0.25">
      <c r="B48" s="254"/>
      <c r="C48" s="550"/>
      <c r="D48" s="254"/>
      <c r="E48" s="256"/>
      <c r="F48" s="29">
        <f t="shared" si="36"/>
        <v>0</v>
      </c>
      <c r="G48" s="257"/>
      <c r="H48" s="257"/>
      <c r="I48" s="257"/>
      <c r="J48" s="257"/>
      <c r="K48" s="257"/>
      <c r="L48" s="257"/>
      <c r="M48" s="257"/>
      <c r="N48" s="257"/>
      <c r="O48" s="257"/>
      <c r="P48" s="257"/>
      <c r="Q48" s="800"/>
      <c r="R48" s="800"/>
      <c r="S48" s="800"/>
      <c r="T48" s="800"/>
      <c r="U48" s="800"/>
      <c r="V48" s="800"/>
      <c r="W48" s="800"/>
      <c r="X48" s="800"/>
      <c r="Y48" s="800"/>
      <c r="Z48" s="800"/>
      <c r="AA48" s="800"/>
      <c r="AB48" s="800"/>
      <c r="AC48" s="800"/>
      <c r="AD48" s="26">
        <f t="shared" si="37"/>
        <v>0</v>
      </c>
      <c r="AE48" s="26">
        <f t="shared" si="38"/>
        <v>0</v>
      </c>
      <c r="AF48" s="26">
        <f t="shared" si="39"/>
        <v>0</v>
      </c>
      <c r="AG48" s="26">
        <f t="shared" si="40"/>
        <v>0</v>
      </c>
      <c r="AH48" s="26">
        <f t="shared" si="41"/>
        <v>0</v>
      </c>
      <c r="AI48" s="26">
        <f t="shared" si="42"/>
        <v>0</v>
      </c>
      <c r="AJ48" s="26">
        <f t="shared" si="42"/>
        <v>0</v>
      </c>
      <c r="AK48" s="26">
        <f t="shared" si="42"/>
        <v>0</v>
      </c>
      <c r="AL48" s="26">
        <f t="shared" si="42"/>
        <v>0</v>
      </c>
      <c r="AM48" s="26">
        <f t="shared" si="42"/>
        <v>0</v>
      </c>
      <c r="AN48" s="68">
        <f t="shared" si="46"/>
        <v>0</v>
      </c>
      <c r="AO48" s="231">
        <f t="shared" si="43"/>
        <v>0</v>
      </c>
      <c r="AP48" s="597">
        <f t="shared" si="58"/>
        <v>0</v>
      </c>
      <c r="AQ48" s="597">
        <f t="shared" si="59"/>
        <v>0</v>
      </c>
      <c r="AR48" s="597">
        <f t="shared" si="60"/>
        <v>0</v>
      </c>
      <c r="AS48" s="597">
        <f t="shared" si="61"/>
        <v>0</v>
      </c>
      <c r="AT48" s="597">
        <f t="shared" si="62"/>
        <v>0</v>
      </c>
      <c r="AU48" s="597">
        <f t="shared" si="52"/>
        <v>0</v>
      </c>
      <c r="AV48" s="597">
        <f t="shared" si="53"/>
        <v>0</v>
      </c>
      <c r="AW48" s="597">
        <f t="shared" si="54"/>
        <v>0</v>
      </c>
      <c r="AX48" s="597">
        <f t="shared" si="55"/>
        <v>0</v>
      </c>
      <c r="AY48" s="597">
        <f t="shared" si="56"/>
        <v>0</v>
      </c>
      <c r="AZ48" s="598">
        <f t="shared" si="57"/>
        <v>0</v>
      </c>
      <c r="BA48" s="138"/>
      <c r="BB48" s="257"/>
      <c r="BC48" s="257"/>
      <c r="BD48" s="257"/>
      <c r="BE48" s="257"/>
      <c r="BF48" s="257"/>
      <c r="BG48" s="257"/>
      <c r="BH48" s="257"/>
      <c r="BI48" s="257"/>
      <c r="BJ48" s="257"/>
      <c r="BK48" s="257"/>
      <c r="BL48" s="692"/>
      <c r="BM48" s="692"/>
      <c r="BN48" s="254"/>
      <c r="BO48" s="550"/>
      <c r="BP48" s="254"/>
      <c r="BQ48" s="256"/>
      <c r="BR48" s="29">
        <f t="shared" si="45"/>
        <v>0</v>
      </c>
      <c r="BS48"/>
      <c r="BT48"/>
      <c r="CD48" s="149"/>
    </row>
    <row r="49" spans="2:83" ht="25.5" hidden="1" customHeight="1" outlineLevel="1" x14ac:dyDescent="0.25">
      <c r="B49" s="254"/>
      <c r="C49" s="550"/>
      <c r="D49" s="254"/>
      <c r="E49" s="256"/>
      <c r="F49" s="29">
        <f t="shared" si="36"/>
        <v>0</v>
      </c>
      <c r="G49" s="257"/>
      <c r="H49" s="257"/>
      <c r="I49" s="257"/>
      <c r="J49" s="257"/>
      <c r="K49" s="257"/>
      <c r="L49" s="257"/>
      <c r="M49" s="257"/>
      <c r="N49" s="257"/>
      <c r="O49" s="257"/>
      <c r="P49" s="257"/>
      <c r="Q49" s="800"/>
      <c r="R49" s="800"/>
      <c r="S49" s="800"/>
      <c r="T49" s="800"/>
      <c r="U49" s="800"/>
      <c r="V49" s="800"/>
      <c r="W49" s="800"/>
      <c r="X49" s="800"/>
      <c r="Y49" s="800"/>
      <c r="Z49" s="800"/>
      <c r="AA49" s="800"/>
      <c r="AB49" s="800"/>
      <c r="AC49" s="800"/>
      <c r="AD49" s="26">
        <f t="shared" si="37"/>
        <v>0</v>
      </c>
      <c r="AE49" s="26">
        <f t="shared" si="38"/>
        <v>0</v>
      </c>
      <c r="AF49" s="26">
        <f t="shared" si="39"/>
        <v>0</v>
      </c>
      <c r="AG49" s="26">
        <f t="shared" si="40"/>
        <v>0</v>
      </c>
      <c r="AH49" s="26">
        <f t="shared" si="41"/>
        <v>0</v>
      </c>
      <c r="AI49" s="26">
        <f t="shared" si="42"/>
        <v>0</v>
      </c>
      <c r="AJ49" s="26">
        <f t="shared" si="42"/>
        <v>0</v>
      </c>
      <c r="AK49" s="26">
        <f t="shared" si="42"/>
        <v>0</v>
      </c>
      <c r="AL49" s="26">
        <f t="shared" si="42"/>
        <v>0</v>
      </c>
      <c r="AM49" s="26">
        <f t="shared" si="42"/>
        <v>0</v>
      </c>
      <c r="AN49" s="68">
        <f>SUM(AD49:AM49)</f>
        <v>0</v>
      </c>
      <c r="AO49" s="231">
        <f t="shared" si="43"/>
        <v>0</v>
      </c>
      <c r="AP49" s="597">
        <f t="shared" si="58"/>
        <v>0</v>
      </c>
      <c r="AQ49" s="597">
        <f t="shared" si="59"/>
        <v>0</v>
      </c>
      <c r="AR49" s="597">
        <f t="shared" si="60"/>
        <v>0</v>
      </c>
      <c r="AS49" s="597">
        <f t="shared" si="61"/>
        <v>0</v>
      </c>
      <c r="AT49" s="597">
        <f t="shared" si="62"/>
        <v>0</v>
      </c>
      <c r="AU49" s="597">
        <f t="shared" si="52"/>
        <v>0</v>
      </c>
      <c r="AV49" s="597">
        <f t="shared" si="53"/>
        <v>0</v>
      </c>
      <c r="AW49" s="597">
        <f t="shared" si="54"/>
        <v>0</v>
      </c>
      <c r="AX49" s="597">
        <f t="shared" si="55"/>
        <v>0</v>
      </c>
      <c r="AY49" s="597">
        <f t="shared" si="56"/>
        <v>0</v>
      </c>
      <c r="AZ49" s="598">
        <f t="shared" si="57"/>
        <v>0</v>
      </c>
      <c r="BA49" s="138"/>
      <c r="BB49" s="257"/>
      <c r="BC49" s="257"/>
      <c r="BD49" s="257"/>
      <c r="BE49" s="257"/>
      <c r="BF49" s="257"/>
      <c r="BG49" s="257"/>
      <c r="BH49" s="257"/>
      <c r="BI49" s="257"/>
      <c r="BJ49" s="257"/>
      <c r="BK49" s="257"/>
      <c r="BL49" s="692"/>
      <c r="BM49" s="692"/>
      <c r="BN49" s="254"/>
      <c r="BO49" s="550"/>
      <c r="BP49" s="254"/>
      <c r="BQ49" s="256"/>
      <c r="BR49" s="29">
        <f t="shared" si="45"/>
        <v>0</v>
      </c>
      <c r="BS49"/>
      <c r="BT49"/>
      <c r="CD49" s="149"/>
    </row>
    <row r="50" spans="2:83" ht="25.5" hidden="1" customHeight="1" outlineLevel="1" x14ac:dyDescent="0.25">
      <c r="B50" s="254"/>
      <c r="C50" s="550"/>
      <c r="D50" s="254"/>
      <c r="E50" s="256"/>
      <c r="F50" s="29">
        <f t="shared" si="36"/>
        <v>0</v>
      </c>
      <c r="G50" s="257"/>
      <c r="H50" s="257"/>
      <c r="I50" s="257"/>
      <c r="J50" s="257"/>
      <c r="K50" s="257"/>
      <c r="L50" s="257"/>
      <c r="M50" s="257"/>
      <c r="N50" s="257"/>
      <c r="O50" s="257"/>
      <c r="P50" s="257"/>
      <c r="Q50" s="800"/>
      <c r="R50" s="800"/>
      <c r="S50" s="800"/>
      <c r="T50" s="800"/>
      <c r="U50" s="800"/>
      <c r="V50" s="800"/>
      <c r="W50" s="800"/>
      <c r="X50" s="800"/>
      <c r="Y50" s="800"/>
      <c r="Z50" s="800"/>
      <c r="AA50" s="800"/>
      <c r="AB50" s="800"/>
      <c r="AC50" s="800"/>
      <c r="AD50" s="26">
        <f t="shared" si="37"/>
        <v>0</v>
      </c>
      <c r="AE50" s="26">
        <f t="shared" si="38"/>
        <v>0</v>
      </c>
      <c r="AF50" s="26">
        <f t="shared" si="39"/>
        <v>0</v>
      </c>
      <c r="AG50" s="26">
        <f t="shared" si="40"/>
        <v>0</v>
      </c>
      <c r="AH50" s="26">
        <f t="shared" si="41"/>
        <v>0</v>
      </c>
      <c r="AI50" s="26">
        <f t="shared" ref="AI50:AM53" si="63">ROUND($F50*1.03^L$2*$B50*L50,0)</f>
        <v>0</v>
      </c>
      <c r="AJ50" s="26">
        <f t="shared" si="63"/>
        <v>0</v>
      </c>
      <c r="AK50" s="26">
        <f t="shared" si="63"/>
        <v>0</v>
      </c>
      <c r="AL50" s="26">
        <f t="shared" si="63"/>
        <v>0</v>
      </c>
      <c r="AM50" s="26">
        <f t="shared" si="63"/>
        <v>0</v>
      </c>
      <c r="AN50" s="68">
        <f t="shared" si="46"/>
        <v>0</v>
      </c>
      <c r="AO50" s="231">
        <f t="shared" si="43"/>
        <v>0</v>
      </c>
      <c r="AP50" s="597">
        <f t="shared" si="58"/>
        <v>0</v>
      </c>
      <c r="AQ50" s="597">
        <f t="shared" si="59"/>
        <v>0</v>
      </c>
      <c r="AR50" s="597">
        <f t="shared" si="60"/>
        <v>0</v>
      </c>
      <c r="AS50" s="597">
        <f t="shared" si="61"/>
        <v>0</v>
      </c>
      <c r="AT50" s="597">
        <f t="shared" si="62"/>
        <v>0</v>
      </c>
      <c r="AU50" s="597">
        <f t="shared" si="52"/>
        <v>0</v>
      </c>
      <c r="AV50" s="597">
        <f t="shared" si="53"/>
        <v>0</v>
      </c>
      <c r="AW50" s="597">
        <f t="shared" si="54"/>
        <v>0</v>
      </c>
      <c r="AX50" s="597">
        <f t="shared" si="55"/>
        <v>0</v>
      </c>
      <c r="AY50" s="597">
        <f t="shared" si="56"/>
        <v>0</v>
      </c>
      <c r="AZ50" s="598">
        <f t="shared" si="57"/>
        <v>0</v>
      </c>
      <c r="BA50" s="138"/>
      <c r="BB50" s="257"/>
      <c r="BC50" s="257"/>
      <c r="BD50" s="257"/>
      <c r="BE50" s="257"/>
      <c r="BF50" s="257"/>
      <c r="BG50" s="257"/>
      <c r="BH50" s="257"/>
      <c r="BI50" s="257"/>
      <c r="BJ50" s="257"/>
      <c r="BK50" s="257"/>
      <c r="BL50" s="692"/>
      <c r="BM50" s="692"/>
      <c r="BN50" s="254"/>
      <c r="BO50" s="550"/>
      <c r="BP50" s="254"/>
      <c r="BQ50" s="256"/>
      <c r="BR50" s="29">
        <f t="shared" si="45"/>
        <v>0</v>
      </c>
      <c r="BS50"/>
      <c r="BT50"/>
      <c r="CD50" s="149"/>
    </row>
    <row r="51" spans="2:83" ht="25.5" hidden="1" customHeight="1" outlineLevel="1" x14ac:dyDescent="0.25">
      <c r="B51" s="254"/>
      <c r="C51" s="550"/>
      <c r="D51" s="254"/>
      <c r="E51" s="256"/>
      <c r="F51" s="29">
        <f t="shared" si="36"/>
        <v>0</v>
      </c>
      <c r="G51" s="257"/>
      <c r="H51" s="257"/>
      <c r="I51" s="257"/>
      <c r="J51" s="257"/>
      <c r="K51" s="257"/>
      <c r="L51" s="257"/>
      <c r="M51" s="257"/>
      <c r="N51" s="257"/>
      <c r="O51" s="257"/>
      <c r="P51" s="257"/>
      <c r="Q51" s="800"/>
      <c r="R51" s="800"/>
      <c r="S51" s="800"/>
      <c r="T51" s="800"/>
      <c r="U51" s="800"/>
      <c r="V51" s="800"/>
      <c r="W51" s="800"/>
      <c r="X51" s="800"/>
      <c r="Y51" s="800"/>
      <c r="Z51" s="800"/>
      <c r="AA51" s="800"/>
      <c r="AB51" s="800"/>
      <c r="AC51" s="800"/>
      <c r="AD51" s="26">
        <f t="shared" si="37"/>
        <v>0</v>
      </c>
      <c r="AE51" s="26">
        <f t="shared" si="38"/>
        <v>0</v>
      </c>
      <c r="AF51" s="26">
        <f t="shared" si="39"/>
        <v>0</v>
      </c>
      <c r="AG51" s="26">
        <f t="shared" si="40"/>
        <v>0</v>
      </c>
      <c r="AH51" s="26">
        <f t="shared" si="41"/>
        <v>0</v>
      </c>
      <c r="AI51" s="26">
        <f t="shared" si="63"/>
        <v>0</v>
      </c>
      <c r="AJ51" s="26">
        <f t="shared" si="63"/>
        <v>0</v>
      </c>
      <c r="AK51" s="26">
        <f t="shared" si="63"/>
        <v>0</v>
      </c>
      <c r="AL51" s="26">
        <f t="shared" si="63"/>
        <v>0</v>
      </c>
      <c r="AM51" s="26">
        <f t="shared" si="63"/>
        <v>0</v>
      </c>
      <c r="AN51" s="68">
        <f t="shared" si="46"/>
        <v>0</v>
      </c>
      <c r="AO51" s="231">
        <f t="shared" si="43"/>
        <v>0</v>
      </c>
      <c r="AP51" s="597">
        <f t="shared" si="58"/>
        <v>0</v>
      </c>
      <c r="AQ51" s="597">
        <f t="shared" si="59"/>
        <v>0</v>
      </c>
      <c r="AR51" s="597">
        <f t="shared" si="60"/>
        <v>0</v>
      </c>
      <c r="AS51" s="597">
        <f t="shared" si="61"/>
        <v>0</v>
      </c>
      <c r="AT51" s="597">
        <f t="shared" si="62"/>
        <v>0</v>
      </c>
      <c r="AU51" s="597">
        <f t="shared" si="52"/>
        <v>0</v>
      </c>
      <c r="AV51" s="597">
        <f t="shared" si="53"/>
        <v>0</v>
      </c>
      <c r="AW51" s="597">
        <f t="shared" si="54"/>
        <v>0</v>
      </c>
      <c r="AX51" s="597">
        <f t="shared" si="55"/>
        <v>0</v>
      </c>
      <c r="AY51" s="597">
        <f t="shared" si="56"/>
        <v>0</v>
      </c>
      <c r="AZ51" s="598">
        <f t="shared" si="57"/>
        <v>0</v>
      </c>
      <c r="BA51" s="138"/>
      <c r="BB51" s="257"/>
      <c r="BC51" s="257"/>
      <c r="BD51" s="257"/>
      <c r="BE51" s="257"/>
      <c r="BF51" s="257"/>
      <c r="BG51" s="257"/>
      <c r="BH51" s="257"/>
      <c r="BI51" s="257"/>
      <c r="BJ51" s="257"/>
      <c r="BK51" s="257"/>
      <c r="BL51" s="692"/>
      <c r="BM51" s="692"/>
      <c r="BN51" s="254"/>
      <c r="BO51" s="550"/>
      <c r="BP51" s="254"/>
      <c r="BQ51" s="256"/>
      <c r="BR51" s="29">
        <f t="shared" si="45"/>
        <v>0</v>
      </c>
      <c r="BS51"/>
      <c r="BT51"/>
      <c r="CD51" s="149"/>
    </row>
    <row r="52" spans="2:83" ht="25.5" hidden="1" customHeight="1" outlineLevel="1" x14ac:dyDescent="0.25">
      <c r="B52" s="255"/>
      <c r="C52" s="551"/>
      <c r="D52" s="254"/>
      <c r="E52" s="256"/>
      <c r="F52" s="29">
        <f t="shared" si="36"/>
        <v>0</v>
      </c>
      <c r="G52" s="257"/>
      <c r="H52" s="257"/>
      <c r="I52" s="257"/>
      <c r="J52" s="257"/>
      <c r="K52" s="257"/>
      <c r="L52" s="257"/>
      <c r="M52" s="257"/>
      <c r="N52" s="257"/>
      <c r="O52" s="257"/>
      <c r="P52" s="257"/>
      <c r="Q52" s="800"/>
      <c r="R52" s="800"/>
      <c r="S52" s="800"/>
      <c r="T52" s="800"/>
      <c r="U52" s="800"/>
      <c r="V52" s="800"/>
      <c r="W52" s="800"/>
      <c r="X52" s="800"/>
      <c r="Y52" s="800"/>
      <c r="Z52" s="800"/>
      <c r="AA52" s="800"/>
      <c r="AB52" s="800"/>
      <c r="AC52" s="800"/>
      <c r="AD52" s="26">
        <f t="shared" si="37"/>
        <v>0</v>
      </c>
      <c r="AE52" s="26">
        <f t="shared" si="38"/>
        <v>0</v>
      </c>
      <c r="AF52" s="26">
        <f t="shared" si="39"/>
        <v>0</v>
      </c>
      <c r="AG52" s="26">
        <f t="shared" si="40"/>
        <v>0</v>
      </c>
      <c r="AH52" s="26">
        <f t="shared" si="41"/>
        <v>0</v>
      </c>
      <c r="AI52" s="26">
        <f t="shared" si="63"/>
        <v>0</v>
      </c>
      <c r="AJ52" s="26">
        <f t="shared" si="63"/>
        <v>0</v>
      </c>
      <c r="AK52" s="26">
        <f t="shared" si="63"/>
        <v>0</v>
      </c>
      <c r="AL52" s="26">
        <f t="shared" si="63"/>
        <v>0</v>
      </c>
      <c r="AM52" s="26">
        <f t="shared" si="63"/>
        <v>0</v>
      </c>
      <c r="AN52" s="68">
        <f t="shared" si="46"/>
        <v>0</v>
      </c>
      <c r="AO52" s="231">
        <f t="shared" si="43"/>
        <v>0</v>
      </c>
      <c r="AP52" s="597">
        <f t="shared" si="58"/>
        <v>0</v>
      </c>
      <c r="AQ52" s="597">
        <f t="shared" si="59"/>
        <v>0</v>
      </c>
      <c r="AR52" s="597">
        <f t="shared" si="60"/>
        <v>0</v>
      </c>
      <c r="AS52" s="597">
        <f t="shared" si="61"/>
        <v>0</v>
      </c>
      <c r="AT52" s="597">
        <f t="shared" si="62"/>
        <v>0</v>
      </c>
      <c r="AU52" s="597">
        <f t="shared" si="52"/>
        <v>0</v>
      </c>
      <c r="AV52" s="597">
        <f t="shared" si="53"/>
        <v>0</v>
      </c>
      <c r="AW52" s="597">
        <f t="shared" si="54"/>
        <v>0</v>
      </c>
      <c r="AX52" s="597">
        <f t="shared" si="55"/>
        <v>0</v>
      </c>
      <c r="AY52" s="597">
        <f t="shared" si="56"/>
        <v>0</v>
      </c>
      <c r="AZ52" s="598">
        <f t="shared" si="57"/>
        <v>0</v>
      </c>
      <c r="BA52" s="138"/>
      <c r="BB52" s="257"/>
      <c r="BC52" s="257"/>
      <c r="BD52" s="257"/>
      <c r="BE52" s="257"/>
      <c r="BF52" s="257"/>
      <c r="BG52" s="257"/>
      <c r="BH52" s="257"/>
      <c r="BI52" s="257"/>
      <c r="BJ52" s="257"/>
      <c r="BK52" s="257"/>
      <c r="BL52" s="692"/>
      <c r="BM52" s="692"/>
      <c r="BN52" s="255"/>
      <c r="BO52" s="551"/>
      <c r="BP52" s="255"/>
      <c r="BQ52" s="256"/>
      <c r="BR52" s="29">
        <f t="shared" si="45"/>
        <v>0</v>
      </c>
      <c r="BS52"/>
      <c r="BT52"/>
      <c r="CD52" s="149"/>
    </row>
    <row r="53" spans="2:83" ht="25.5" hidden="1" customHeight="1" outlineLevel="1" x14ac:dyDescent="0.25">
      <c r="B53" s="255"/>
      <c r="C53" s="551"/>
      <c r="D53" s="254"/>
      <c r="E53" s="256"/>
      <c r="F53" s="29">
        <f t="shared" si="36"/>
        <v>0</v>
      </c>
      <c r="G53" s="257"/>
      <c r="H53" s="257"/>
      <c r="I53" s="257"/>
      <c r="J53" s="257"/>
      <c r="K53" s="257"/>
      <c r="L53" s="257"/>
      <c r="M53" s="257"/>
      <c r="N53" s="257"/>
      <c r="O53" s="257"/>
      <c r="P53" s="257"/>
      <c r="Q53" s="800"/>
      <c r="R53" s="800"/>
      <c r="S53" s="800"/>
      <c r="T53" s="800"/>
      <c r="U53" s="800"/>
      <c r="V53" s="800"/>
      <c r="W53" s="800"/>
      <c r="X53" s="800"/>
      <c r="Y53" s="800"/>
      <c r="Z53" s="800"/>
      <c r="AA53" s="800"/>
      <c r="AB53" s="800"/>
      <c r="AC53" s="800"/>
      <c r="AD53" s="26">
        <f t="shared" si="37"/>
        <v>0</v>
      </c>
      <c r="AE53" s="26">
        <f t="shared" si="38"/>
        <v>0</v>
      </c>
      <c r="AF53" s="26">
        <f t="shared" si="39"/>
        <v>0</v>
      </c>
      <c r="AG53" s="26">
        <f t="shared" si="40"/>
        <v>0</v>
      </c>
      <c r="AH53" s="26">
        <f t="shared" si="41"/>
        <v>0</v>
      </c>
      <c r="AI53" s="26">
        <f t="shared" si="63"/>
        <v>0</v>
      </c>
      <c r="AJ53" s="26">
        <f t="shared" si="63"/>
        <v>0</v>
      </c>
      <c r="AK53" s="26">
        <f t="shared" si="63"/>
        <v>0</v>
      </c>
      <c r="AL53" s="26">
        <f t="shared" si="63"/>
        <v>0</v>
      </c>
      <c r="AM53" s="26">
        <f t="shared" si="63"/>
        <v>0</v>
      </c>
      <c r="AN53" s="68">
        <f t="shared" si="46"/>
        <v>0</v>
      </c>
      <c r="AO53" s="231">
        <f t="shared" si="43"/>
        <v>0</v>
      </c>
      <c r="AP53" s="597">
        <f t="shared" si="58"/>
        <v>0</v>
      </c>
      <c r="AQ53" s="597">
        <f t="shared" si="59"/>
        <v>0</v>
      </c>
      <c r="AR53" s="597">
        <f t="shared" si="60"/>
        <v>0</v>
      </c>
      <c r="AS53" s="597">
        <f t="shared" si="61"/>
        <v>0</v>
      </c>
      <c r="AT53" s="597">
        <f t="shared" si="62"/>
        <v>0</v>
      </c>
      <c r="AU53" s="597">
        <f t="shared" si="52"/>
        <v>0</v>
      </c>
      <c r="AV53" s="597">
        <f t="shared" si="53"/>
        <v>0</v>
      </c>
      <c r="AW53" s="597">
        <f t="shared" si="54"/>
        <v>0</v>
      </c>
      <c r="AX53" s="597">
        <f t="shared" si="55"/>
        <v>0</v>
      </c>
      <c r="AY53" s="597">
        <f t="shared" si="56"/>
        <v>0</v>
      </c>
      <c r="AZ53" s="598">
        <f t="shared" si="57"/>
        <v>0</v>
      </c>
      <c r="BA53" s="138"/>
      <c r="BB53" s="257"/>
      <c r="BC53" s="257"/>
      <c r="BD53" s="257"/>
      <c r="BE53" s="257"/>
      <c r="BF53" s="257"/>
      <c r="BG53" s="257"/>
      <c r="BH53" s="257"/>
      <c r="BI53" s="257"/>
      <c r="BJ53" s="257"/>
      <c r="BK53" s="257"/>
      <c r="BL53" s="692"/>
      <c r="BM53" s="692"/>
      <c r="BN53" s="255"/>
      <c r="BO53" s="551"/>
      <c r="BP53" s="255"/>
      <c r="BQ53" s="256"/>
      <c r="BR53" s="29">
        <f t="shared" si="45"/>
        <v>0</v>
      </c>
      <c r="BS53"/>
      <c r="BT53"/>
      <c r="CD53" s="149"/>
      <c r="CE53" s="28"/>
    </row>
    <row r="54" spans="2:83" customFormat="1" ht="33.75" customHeight="1" collapsed="1" x14ac:dyDescent="0.25">
      <c r="B54" s="723" t="s">
        <v>179</v>
      </c>
      <c r="C54" s="723"/>
      <c r="D54" s="723"/>
      <c r="E54" s="723"/>
      <c r="F54" s="723"/>
      <c r="G54" s="723"/>
      <c r="H54" s="723"/>
      <c r="I54" s="723"/>
      <c r="J54" s="723"/>
      <c r="K54" s="723"/>
      <c r="L54" s="723"/>
      <c r="M54" s="723"/>
      <c r="N54" s="723"/>
      <c r="O54" s="723"/>
      <c r="P54" s="723"/>
      <c r="Q54" s="723"/>
      <c r="R54" s="723"/>
      <c r="S54" s="723"/>
      <c r="T54" s="723"/>
      <c r="U54" s="723"/>
      <c r="V54" s="723"/>
      <c r="W54" s="723"/>
      <c r="X54" s="723"/>
      <c r="Y54" s="723"/>
      <c r="Z54" s="723"/>
      <c r="AA54" s="723"/>
      <c r="AB54" s="723"/>
      <c r="AC54" s="723"/>
      <c r="AD54" s="327">
        <f>SUM(AD34:AD53)</f>
        <v>0</v>
      </c>
      <c r="AE54" s="327">
        <f t="shared" ref="AE54:AM54" si="64">SUM(AE34:AE53)</f>
        <v>0</v>
      </c>
      <c r="AF54" s="343">
        <f t="shared" si="64"/>
        <v>0</v>
      </c>
      <c r="AG54" s="343">
        <f t="shared" si="64"/>
        <v>0</v>
      </c>
      <c r="AH54" s="343">
        <f t="shared" si="64"/>
        <v>0</v>
      </c>
      <c r="AI54" s="343">
        <f t="shared" si="64"/>
        <v>0</v>
      </c>
      <c r="AJ54" s="343">
        <f t="shared" si="64"/>
        <v>0</v>
      </c>
      <c r="AK54" s="343">
        <f t="shared" si="64"/>
        <v>0</v>
      </c>
      <c r="AL54" s="343">
        <f t="shared" si="64"/>
        <v>0</v>
      </c>
      <c r="AM54" s="343">
        <f t="shared" si="64"/>
        <v>0</v>
      </c>
      <c r="AN54" s="343">
        <f>SUM(AN34:AN53)</f>
        <v>0</v>
      </c>
      <c r="AO54" s="519"/>
      <c r="AP54" s="383">
        <f t="shared" ref="AP54:AZ54" si="65">SUM(AP34:AP53)</f>
        <v>0</v>
      </c>
      <c r="AQ54" s="383">
        <f t="shared" si="65"/>
        <v>0</v>
      </c>
      <c r="AR54" s="383">
        <f t="shared" si="65"/>
        <v>0</v>
      </c>
      <c r="AS54" s="383">
        <f t="shared" si="65"/>
        <v>0</v>
      </c>
      <c r="AT54" s="383">
        <f t="shared" si="65"/>
        <v>0</v>
      </c>
      <c r="AU54" s="383">
        <f t="shared" si="65"/>
        <v>0</v>
      </c>
      <c r="AV54" s="383">
        <f t="shared" si="65"/>
        <v>0</v>
      </c>
      <c r="AW54" s="383">
        <f t="shared" si="65"/>
        <v>0</v>
      </c>
      <c r="AX54" s="383">
        <f t="shared" si="65"/>
        <v>0</v>
      </c>
      <c r="AY54" s="383">
        <f t="shared" si="65"/>
        <v>0</v>
      </c>
      <c r="AZ54" s="383">
        <f t="shared" si="65"/>
        <v>0</v>
      </c>
      <c r="BA54" s="384"/>
      <c r="BB54" s="726" t="s">
        <v>180</v>
      </c>
      <c r="BC54" s="726"/>
      <c r="BD54" s="726"/>
      <c r="BE54" s="726"/>
      <c r="BF54" s="726"/>
      <c r="BG54" s="726"/>
      <c r="BH54" s="726"/>
      <c r="BI54" s="726"/>
      <c r="BJ54" s="726"/>
      <c r="BK54" s="726"/>
      <c r="BL54" s="726"/>
      <c r="BM54" s="726"/>
      <c r="BN54" s="726"/>
      <c r="BO54" s="726"/>
      <c r="BP54" s="726"/>
      <c r="BQ54" s="726"/>
      <c r="BR54" s="726"/>
      <c r="BS54" s="726"/>
      <c r="BT54" s="726"/>
      <c r="BU54" s="726"/>
      <c r="BV54" s="726"/>
      <c r="BW54" s="726"/>
      <c r="BX54" s="726"/>
      <c r="BY54" s="726"/>
      <c r="BZ54" s="726"/>
      <c r="CA54" s="726"/>
      <c r="CB54" s="726"/>
      <c r="CC54" s="726"/>
      <c r="CD54" s="727"/>
      <c r="CE54" s="212"/>
    </row>
    <row r="55" spans="2:83" ht="51" customHeight="1" thickBot="1" x14ac:dyDescent="0.35">
      <c r="B55" s="740" t="s">
        <v>181</v>
      </c>
      <c r="C55" s="740"/>
      <c r="D55" s="740"/>
      <c r="E55" s="740"/>
      <c r="F55" s="740"/>
      <c r="G55" s="740"/>
      <c r="H55" s="740"/>
      <c r="I55" s="740"/>
      <c r="J55" s="740"/>
      <c r="K55" s="740"/>
      <c r="L55" s="740"/>
      <c r="M55" s="740"/>
      <c r="N55" s="740"/>
      <c r="O55" s="740"/>
      <c r="P55" s="740"/>
      <c r="Q55" s="740"/>
      <c r="R55" s="740"/>
      <c r="S55" s="740"/>
      <c r="T55" s="740"/>
      <c r="U55" s="740"/>
      <c r="V55" s="740"/>
      <c r="W55" s="740"/>
      <c r="X55" s="740"/>
      <c r="Y55" s="740"/>
      <c r="Z55" s="740"/>
      <c r="AA55" s="740"/>
      <c r="AB55" s="740"/>
      <c r="AC55" s="740"/>
      <c r="AD55" s="740"/>
      <c r="AE55" s="740"/>
      <c r="AF55" s="740"/>
      <c r="AG55" s="740"/>
      <c r="AH55" s="740"/>
      <c r="AI55" s="740"/>
      <c r="AJ55" s="740"/>
      <c r="AK55" s="740"/>
      <c r="AL55" s="740"/>
      <c r="AM55" s="740"/>
      <c r="AN55" s="740"/>
      <c r="AO55" s="520"/>
      <c r="AP55" s="690" t="s">
        <v>182</v>
      </c>
      <c r="AQ55" s="690"/>
      <c r="AR55" s="690"/>
      <c r="AS55" s="690"/>
      <c r="AT55" s="690"/>
      <c r="AU55" s="690"/>
      <c r="AV55" s="690"/>
      <c r="AW55" s="690"/>
      <c r="AX55" s="690"/>
      <c r="AY55" s="690"/>
      <c r="AZ55" s="690"/>
      <c r="BA55" s="690"/>
      <c r="BB55" s="690"/>
      <c r="BC55" s="690"/>
      <c r="BD55" s="690"/>
      <c r="BE55" s="690"/>
      <c r="BF55" s="690"/>
      <c r="BG55" s="690"/>
      <c r="BH55" s="690"/>
      <c r="BI55" s="690"/>
      <c r="BJ55" s="690"/>
      <c r="BK55" s="690"/>
      <c r="BL55" s="690"/>
      <c r="BM55" s="690"/>
      <c r="BN55" s="690"/>
      <c r="BO55" s="690"/>
      <c r="BP55" s="690"/>
      <c r="BQ55" s="690"/>
      <c r="BR55" s="690"/>
      <c r="BS55" s="690"/>
      <c r="BT55" s="690"/>
      <c r="BU55" s="690"/>
      <c r="BV55" s="690"/>
      <c r="BW55" s="690"/>
      <c r="BX55" s="690"/>
      <c r="BY55" s="690"/>
      <c r="BZ55" s="690"/>
      <c r="CA55" s="690"/>
      <c r="CB55" s="690"/>
      <c r="CC55" s="690"/>
      <c r="CD55" s="690"/>
    </row>
    <row r="56" spans="2:83" ht="46.5" customHeight="1" thickTop="1" x14ac:dyDescent="0.25">
      <c r="B56" s="53" t="s">
        <v>183</v>
      </c>
      <c r="C56" s="53" t="s">
        <v>123</v>
      </c>
      <c r="D56" s="53" t="s">
        <v>75</v>
      </c>
      <c r="E56" s="52" t="s">
        <v>162</v>
      </c>
      <c r="F56" s="52"/>
      <c r="G56" s="133" t="s">
        <v>184</v>
      </c>
      <c r="H56" s="133" t="s">
        <v>185</v>
      </c>
      <c r="I56" s="133" t="s">
        <v>186</v>
      </c>
      <c r="J56" s="133" t="s">
        <v>187</v>
      </c>
      <c r="K56" s="133" t="s">
        <v>188</v>
      </c>
      <c r="L56" s="133" t="s">
        <v>189</v>
      </c>
      <c r="M56" s="133" t="s">
        <v>190</v>
      </c>
      <c r="N56" s="133" t="s">
        <v>191</v>
      </c>
      <c r="O56" s="133" t="s">
        <v>192</v>
      </c>
      <c r="P56" s="133" t="s">
        <v>193</v>
      </c>
      <c r="R56" s="700" t="s">
        <v>194</v>
      </c>
      <c r="S56" s="52" t="s">
        <v>126</v>
      </c>
      <c r="T56" s="52" t="s">
        <v>127</v>
      </c>
      <c r="U56" s="52" t="s">
        <v>128</v>
      </c>
      <c r="V56" s="52" t="s">
        <v>129</v>
      </c>
      <c r="W56" s="52" t="s">
        <v>130</v>
      </c>
      <c r="X56" s="52" t="s">
        <v>131</v>
      </c>
      <c r="Y56" s="52" t="s">
        <v>132</v>
      </c>
      <c r="Z56" s="52" t="s">
        <v>133</v>
      </c>
      <c r="AA56" s="52" t="s">
        <v>134</v>
      </c>
      <c r="AB56" s="52" t="s">
        <v>135</v>
      </c>
      <c r="AC56"/>
      <c r="AD56" s="51" t="s">
        <v>137</v>
      </c>
      <c r="AE56" s="51" t="s">
        <v>138</v>
      </c>
      <c r="AF56" s="51" t="s">
        <v>139</v>
      </c>
      <c r="AG56" s="51" t="s">
        <v>140</v>
      </c>
      <c r="AH56" s="51" t="s">
        <v>141</v>
      </c>
      <c r="AI56" s="51" t="s">
        <v>142</v>
      </c>
      <c r="AJ56" s="51" t="s">
        <v>143</v>
      </c>
      <c r="AK56" s="51" t="s">
        <v>144</v>
      </c>
      <c r="AL56" s="51" t="s">
        <v>145</v>
      </c>
      <c r="AM56" s="51" t="s">
        <v>146</v>
      </c>
      <c r="AN56" s="232" t="s">
        <v>116</v>
      </c>
      <c r="AO56" s="512"/>
      <c r="AP56" s="54" t="s">
        <v>137</v>
      </c>
      <c r="AQ56" s="54" t="s">
        <v>138</v>
      </c>
      <c r="AR56" s="54" t="s">
        <v>139</v>
      </c>
      <c r="AS56" s="54" t="s">
        <v>140</v>
      </c>
      <c r="AT56" s="54" t="s">
        <v>141</v>
      </c>
      <c r="AU56" s="54" t="s">
        <v>142</v>
      </c>
      <c r="AV56" s="54" t="s">
        <v>143</v>
      </c>
      <c r="AW56" s="54" t="s">
        <v>144</v>
      </c>
      <c r="AX56" s="54" t="s">
        <v>145</v>
      </c>
      <c r="AY56" s="54" t="s">
        <v>146</v>
      </c>
      <c r="AZ56" s="368" t="s">
        <v>147</v>
      </c>
      <c r="BB56" s="52" t="s">
        <v>195</v>
      </c>
      <c r="BC56" s="52" t="s">
        <v>196</v>
      </c>
      <c r="BD56" s="52" t="s">
        <v>197</v>
      </c>
      <c r="BE56" s="52" t="s">
        <v>198</v>
      </c>
      <c r="BF56" s="52" t="s">
        <v>199</v>
      </c>
      <c r="BG56" s="52" t="s">
        <v>200</v>
      </c>
      <c r="BH56" s="52" t="s">
        <v>201</v>
      </c>
      <c r="BI56" s="52" t="s">
        <v>202</v>
      </c>
      <c r="BJ56" s="52" t="s">
        <v>203</v>
      </c>
      <c r="BK56" s="52" t="s">
        <v>204</v>
      </c>
      <c r="BN56" s="53" t="s">
        <v>183</v>
      </c>
      <c r="BO56" s="53" t="s">
        <v>123</v>
      </c>
      <c r="BP56" s="53" t="s">
        <v>75</v>
      </c>
      <c r="BQ56" s="52" t="s">
        <v>162</v>
      </c>
      <c r="BT56" s="52" t="s">
        <v>126</v>
      </c>
      <c r="BU56" s="52" t="s">
        <v>127</v>
      </c>
      <c r="BV56" s="52" t="s">
        <v>128</v>
      </c>
      <c r="BW56" s="52" t="s">
        <v>129</v>
      </c>
      <c r="BX56" s="52" t="s">
        <v>130</v>
      </c>
      <c r="BY56" s="52" t="s">
        <v>131</v>
      </c>
      <c r="BZ56" s="52" t="s">
        <v>132</v>
      </c>
      <c r="CA56" s="52" t="s">
        <v>133</v>
      </c>
      <c r="CB56" s="52" t="s">
        <v>134</v>
      </c>
      <c r="CC56" s="52" t="s">
        <v>135</v>
      </c>
      <c r="CD56" s="149"/>
      <c r="CE56" s="28"/>
    </row>
    <row r="57" spans="2:83" ht="25.5" customHeight="1" x14ac:dyDescent="0.25">
      <c r="B57" s="254"/>
      <c r="C57" s="552" t="s">
        <v>205</v>
      </c>
      <c r="D57" s="202" t="s">
        <v>206</v>
      </c>
      <c r="E57" s="258"/>
      <c r="F57" s="136"/>
      <c r="G57" s="255"/>
      <c r="H57" s="255"/>
      <c r="I57" s="255"/>
      <c r="J57" s="255"/>
      <c r="K57" s="255"/>
      <c r="L57" s="255"/>
      <c r="M57" s="255"/>
      <c r="N57" s="255"/>
      <c r="O57" s="255"/>
      <c r="P57" s="255"/>
      <c r="Q57" s="204"/>
      <c r="R57" s="692"/>
      <c r="S57" s="134" cm="1">
        <f t="array" ref="S57">_xlfn.IFS($D$57="Full Year", ROUND((((G57*(52/12)*8.77)/1520)*8.77)*2,2),
$D$57="Fall",ROUND((((G57*(((52/12)*8.77)/1520)*8.77))/2)*2,2),
$D$57="Spring",(ROUND((((G57*(((52/12)*8.77)/1520)*8.77))/2)*2,2)))</f>
        <v>0</v>
      </c>
      <c r="T57" s="134" cm="1">
        <f t="array" ref="T57">_xlfn.IFS($D$57="Full Year", ROUND((((H57*(52/12)*8.77)/1520)*8.77)*2,2),
$D$57="Fall",ROUND((((H57*(((52/12)*8.77)/1520)*8.77))/2)*2,2),
$D$57="Spring",(ROUND((((H57*(((52/12)*8.77)/1520)*8.77))/2)*2,2)))</f>
        <v>0</v>
      </c>
      <c r="U57" s="134" cm="1">
        <f t="array" ref="U57">_xlfn.IFS($D$57="Full Year", ROUND((((I57*(52/12)*8.77)/1520)*8.77)*2,2),
$D$57="Fall",ROUND((((I57*(((52/12)*8.77)/1520)*8.77))/2)*2,2),
$D$57="Spring",(ROUND((((I57*(((52/12)*8.77)/1520)*8.77))/2)*2,2)))</f>
        <v>0</v>
      </c>
      <c r="V57" s="134" cm="1">
        <f t="array" ref="V57">_xlfn.IFS($D$57="Full Year", ROUND((((J57*(52/12)*8.77)/1520)*8.77)*2,2),
$D$57="Fall",ROUND((((J57*(((52/12)*8.77)/1520)*8.77))/2)*2,2),
$D$57="Spring",(ROUND((((J57*(((52/12)*8.77)/1520)*8.77))/2)*2,2)))</f>
        <v>0</v>
      </c>
      <c r="W57" s="134" cm="1">
        <f t="array" ref="W57">_xlfn.IFS($D$57="Full Year", ROUND((((K57*(52/12)*8.77)/1520)*8.77)*2,2),
$D$57="Fall",ROUND((((K57*(((52/12)*8.77)/1520)*8.77))/2)*2,2),
$D$57="Spring",(ROUND((((K57*(((52/12)*8.77)/1520)*8.77))/2)*2,2)))</f>
        <v>0</v>
      </c>
      <c r="X57" s="134" cm="1">
        <f t="array" ref="X57">_xlfn.IFS($D$57="Full Year", ROUND((((L57*(52/12)*8.77)/1520)*8.77)*2,2),
$D$57="Fall",ROUND((((L57*(((52/12)*8.77)/1520)*8.77))/2)*2,2),
$D$57="Spring",(ROUND((((L57*(((52/12)*8.77)/1520)*8.77))/2)*2,2)))</f>
        <v>0</v>
      </c>
      <c r="Y57" s="134" cm="1">
        <f t="array" ref="Y57">_xlfn.IFS($D$57="Full Year", ROUND((((M57*(52/12)*8.77)/1520)*8.77)*2,2),
$D$57="Fall",ROUND((((M57*(((52/12)*8.77)/1520)*8.77))/2)*2,2),
$D$57="Spring",(ROUND((((M57*(((52/12)*8.77)/1520)*8.77))/2)*2,2)))</f>
        <v>0</v>
      </c>
      <c r="Z57" s="134" cm="1">
        <f t="array" ref="Z57">_xlfn.IFS($D$57="Full Year", ROUND((((N57*(52/12)*8.77)/1520)*8.77)*2,2),
$D$57="Fall",ROUND((((N57*(((52/12)*8.77)/1520)*8.77))/2)*2,2),
$D$57="Spring",(ROUND((((N57*(((52/12)*8.77)/1520)*8.77))/2)*2,2)))</f>
        <v>0</v>
      </c>
      <c r="AA57" s="134" cm="1">
        <f t="array" ref="AA57">_xlfn.IFS($D$57="Full Year", ROUND((((O57*(52/12)*8.77)/1520)*8.77)*2,2),
$D$57="Fall",ROUND((((O57*(((52/12)*8.77)/1520)*8.77))/2)*2,2),
$D$57="Spring",(ROUND((((O57*(((52/12)*8.77)/1520)*8.77))/2)*2,2)))</f>
        <v>0</v>
      </c>
      <c r="AB57" s="134" cm="1">
        <f t="array" ref="AB57">_xlfn.IFS($D$57="Full Year", ROUND((((P57*(52/12)*8.77)/1520)*8.77)*2,2),
$D$57="Fall",ROUND((((P57*(((52/12)*8.77)/1520)*8.77))/2)*2,2),
$D$57="Spring",(ROUND((((P57*(((52/12)*8.77)/1520)*8.77))/2)*2,2)))</f>
        <v>0</v>
      </c>
      <c r="AC57"/>
      <c r="AD57" s="67" cm="1">
        <f t="array" ref="AD57">_xlfn.IFS($D$57="Full year", ((($E$57*8.77/760*G57*38)*$B$57)*1.03^G$2),
$D$57="Fall", ((($E$57*8.77/760*G57*19)*$B$57)*1.03^G$2),
$D$57="Spring",(($E$57*8.77/760*G57*19)*$B$57)*1.03^G$2)</f>
        <v>0</v>
      </c>
      <c r="AE57" s="67" cm="1">
        <f t="array" ref="AE57">_xlfn.IFS($D$57="Full year", ((($E$57*8.77/760*H57*38)*$B$57)*1.03^H$2),
$D$57="Fall", ((($E$57*8.77/760*H57*19)*$B$57)*1.03^H$2),
$D$57="Spring",(($E$57*8.77/760*H57*19)*$B$57)*1.03^H$2)</f>
        <v>0</v>
      </c>
      <c r="AF57" s="67" cm="1">
        <f t="array" ref="AF57">_xlfn.IFS($D$57="Full year", ((($E$57*8.77/760*I57*38)*$B$57)*1.03^I$2),
$D$57="Fall", ((($E$57*8.77/760*I57*19)*$B$57)*1.03^I$2),
$D$57="Spring",(($E$57*8.77/760*I57*19)*$B$57)*1.03^I$2)</f>
        <v>0</v>
      </c>
      <c r="AG57" s="67" cm="1">
        <f t="array" ref="AG57">_xlfn.IFS($D$57="Full year", ((($E$57*8.77/760*J57*38)*$B$57)*1.03^J$2),
$D$57="Fall", ((($E$57*8.77/760*J57*19)*$B$57)*1.03^J$2),
$D$57="Spring",(($E$57*8.77/760*J57*19)*$B$57)*1.03^J$2)</f>
        <v>0</v>
      </c>
      <c r="AH57" s="67" cm="1">
        <f t="array" ref="AH57">_xlfn.IFS($D$57="Full year", ((($E$57*8.77/760*K57*38)*$B$57)*1.03^K$2),
$D$57="Fall", ((($E$57*8.77/760*K57*19)*$B$57)*1.03^K$2),
$D$57="Spring",(($E$57*8.77/760*K57*19)*$B$57)*1.03^K$2)</f>
        <v>0</v>
      </c>
      <c r="AI57" s="67" cm="1">
        <f t="array" ref="AI57">_xlfn.IFS($D$57="Full year", ((($E$57*8.77/760*L57*38)*$B$57)*1.03^L$2),
$D$57="Fall", ((($E$57*8.77/760*L57*19)*$B$57)*1.03^L$2),
$D$57="Spring",(($E$57*8.77/760*L57*19)*$B$57)*1.03^L$2)</f>
        <v>0</v>
      </c>
      <c r="AJ57" s="67" cm="1">
        <f t="array" ref="AJ57">_xlfn.IFS($D$57="Full year", ((($E$57*8.77/760*M57*38)*$B$57)*1.03^M$2),
$D$57="Fall", ((($E$57*8.77/760*M57*19)*$B$57)*1.03^M$2),
$D$57="Spring",(($E$57*8.77/760*M57*19)*$B$57)*1.03^M$2)</f>
        <v>0</v>
      </c>
      <c r="AK57" s="67" cm="1">
        <f t="array" ref="AK57">_xlfn.IFS($D$57="Full year", ((($E$57*8.77/760*N57*38)*$B$57)*1.03^N$2),
$D$57="Fall", ((($E$57*8.77/760*N57*19)*$B$57)*1.03^N$2),
$D$57="Spring",(($E$57*8.77/760*N57*19)*$B$57)*1.03^N$2)</f>
        <v>0</v>
      </c>
      <c r="AL57" s="67" cm="1">
        <f t="array" ref="AL57">_xlfn.IFS($D$57="Full year", ((($E$57*8.77/760*O57*38)*$B$57)*1.03^O$2),
$D$57="Fall", ((($E$57*8.77/760*O57*19)*$B$57)*1.03^O$2),
$D$57="Spring",(($E$57*8.77/760*O57*19)*$B$57)*1.03^O$2)</f>
        <v>0</v>
      </c>
      <c r="AM57" s="67" cm="1">
        <f t="array" ref="AM57">_xlfn.IFS($D$57="Full year", ((($E$57*8.77/760*P57*38)*$B$57)*1.03^P$2),
$D$57="Fall", ((($E$57*8.77/760*P57*19)*$B$57)*1.03^P$2),
$D$57="Spring",(($E$57*8.77/760*P57*19)*$B$57)*1.03^P$2)</f>
        <v>0</v>
      </c>
      <c r="AN57" s="69">
        <f>SUM(AD57:AM57)</f>
        <v>0</v>
      </c>
      <c r="AO57" s="518">
        <f t="shared" ref="AO57:AO68" si="66">AN57+AZ57</f>
        <v>0</v>
      </c>
      <c r="AP57" s="570" cm="1">
        <f t="array" ref="AP57">_xlfn.IFS($BP$57="Full year", ((($BQ$57*8.77/760*BB57*38)*$BN$57)*1.03^G$2),
 $BP$57="Fall", ((($BQ$57*8.77/760*BB57*19)*$BN$57)*1.03^G$2),
$BP$57="Spring",(($BQ$57*8.77/760*BB57*19)*$BN$57)*1.03^G$2)</f>
        <v>0</v>
      </c>
      <c r="AQ57" s="571" cm="1">
        <f t="array" ref="AQ57">_xlfn.IFS($BP$57="Full year", ((($BQ$57*8.77/760*BC57*38)*$BN$57)*1.03^H$2),
 $BP$57="Fall", ((($BQ$57*8.77/760*BC57*19)*$BN$57)*1.03^H$2),
$BP$57="Spring",(($BQ$57*8.77/760*BC57*19)*BN$57)*1.03^H$2)</f>
        <v>0</v>
      </c>
      <c r="AR57" s="571" cm="1">
        <f t="array" ref="AR57">_xlfn.IFS($BP$57="Full year", ((($BQ$57*8.77/760*BD57*38)*$BN$57)*1.03^I$2),
 $BP$57="Fall", ((($BQ$57*8.77/760*BD57*19)*$BN$57)*1.03^I$2),
$BP$57="Spring",(($BQ$57*8.77/760*BD57*19)*$BN$57)*1.03^I$2)</f>
        <v>0</v>
      </c>
      <c r="AS57" s="571" cm="1">
        <f t="array" ref="AS57">_xlfn.IFS($BP$57="Full year", ((($BQ$57*8.77/760*BE57*38)*$BN$57)*1.03^J$2),
 $BP$57="Fall", ((($BQ$57*8.77/760*BE57*19)*$BN$57)*1.03^J$2),
$BP$57="Spring",(($BQ$57*8.77/760*BE57*19)*$BN$57)*1.03^J$2)</f>
        <v>0</v>
      </c>
      <c r="AT57" s="571" cm="1">
        <f t="array" ref="AT57">_xlfn.IFS($BP$57="Full year", ((($BQ$57*8.77/760*BF57*38)*$BN$57)*1.03^K$2),
 $BP$57="Fall", ((($BQ$57*8.77/760*BF57*19)*$BN$57)*1.03^K$2),
$BP$57="Spring",(($BQ$57*8.77/760*BF57*19)*$BN$57)*1.03^K$2)</f>
        <v>0</v>
      </c>
      <c r="AU57" s="571" cm="1">
        <f t="array" ref="AU57">_xlfn.IFS($BP$57="Full year", ((($BQ$57*8.77/760*BG57*38)*$BN$57)*1.03^L$2),
 $BP$57="Fall", ((($BQ$57*8.77/760*BG57*19)*$BN$57)*1.03^L$2),
$BP$57="Spring",(($BQ$57*8.77/760*BG57*19)*$BN$57)*1.03^L$2)</f>
        <v>0</v>
      </c>
      <c r="AV57" s="571" cm="1">
        <f t="array" ref="AV57">_xlfn.IFS($BP$57="Full year", ((($BQ$57*8.77/760*BH57*38)*$BN$57)*1.03^M$2),
 $BP$57="Fall", ((($BQ$57*8.77/760*BH57*19)*$BN$57)*1.03^M$2),
$BP$57="Spring",(($BQ$57*8.77/760*BH57*19)*$BN$57)*1.03^M$2)</f>
        <v>0</v>
      </c>
      <c r="AW57" s="571" cm="1">
        <f t="array" ref="AW57">_xlfn.IFS($BP$57="Full year", ((($BQ$57*8.77/760*BI57*38)*$BN$57)*1.03^N$2),
 $BP$57="Fall", ((($BQ$57*8.77/760*BI57*19)*$BN$57)*1.03^N$2),
$BP$57="Spring",(($BQ$57*8.77/760*BI57*19)*$BN$57)*1.03^N$2)</f>
        <v>0</v>
      </c>
      <c r="AX57" s="571" cm="1">
        <f t="array" ref="AX57">_xlfn.IFS($BP$57="Full year", ((($BQ$57*8.77/760*BJ57*38)*$BN$57)*1.03^O$2),
 $BP$57="Fall", ((($BQ$57*8.77/760*BJ57*19)*$BN$57)*1.03^O$2),
$BP$57="Spring",(($BQ$57*8.77/760*BJ57*19)*$BN$57)*1.03^O$2)</f>
        <v>0</v>
      </c>
      <c r="AY57" s="571" cm="1">
        <f t="array" ref="AY57">_xlfn.IFS($BP$57="Full year", ((($BQ$57*8.77/760*BK57*38)*$BN$57)*1.03^P$2),
 $BP$57="Fall", ((($BQ$57*8.77/760*BK57*19)*$BN$57)*1.03^P$2),
$BP$57="Spring",(($BQ$57*8.77/760*BK57*19)*$BN$57)*1.03^P$2)</f>
        <v>0</v>
      </c>
      <c r="AZ57" s="572">
        <f t="shared" ref="AZ57:AZ66" si="67">SUM(AP57:AY57)</f>
        <v>0</v>
      </c>
      <c r="BA57" s="138"/>
      <c r="BB57" s="254"/>
      <c r="BC57" s="254"/>
      <c r="BD57" s="254"/>
      <c r="BE57" s="254"/>
      <c r="BF57" s="254"/>
      <c r="BG57" s="254"/>
      <c r="BH57" s="254"/>
      <c r="BI57" s="254"/>
      <c r="BJ57" s="254"/>
      <c r="BK57" s="254"/>
      <c r="BN57" s="254"/>
      <c r="BO57" s="604" t="s">
        <v>207</v>
      </c>
      <c r="BP57" s="202" t="s">
        <v>206</v>
      </c>
      <c r="BQ57" s="258"/>
      <c r="BT57" s="192" cm="1">
        <f t="array" ref="BT57">_xlfn.IFS($BP$57="Full Year", ROUND((((BB57*(52/12)*8.77)/1520)*8.77)*2,2),
$BP$57="Fall",ROUND((((BB57*(((52/12)*8.77)/1520)*8.77))/2)*2,2),
$BP$57="Spring",(ROUND((((BB57*(((52/12)*8.77)/1520)*8.77))/2)*2,2)))</f>
        <v>0</v>
      </c>
      <c r="BU57" s="134" cm="1">
        <f t="array" ref="BU57">_xlfn.IFS($BP$57="Full Year", ROUND((((BC57*(52/12)*8.77)/1520)*8.77)*2,2),
$BP$57="Fall",ROUND((((BC57*(((52/12)*8.77)/1520)*8.77))/2)*2,2),
$BP$57="Spring",(ROUND((((BC57*(((52/12)*8.77)/1520)*8.77))/2)*2,2)))</f>
        <v>0</v>
      </c>
      <c r="BV57" s="134" cm="1">
        <f t="array" ref="BV57">_xlfn.IFS($BP$57="Full Year", ROUND((((BD57*(52/12)*8.77)/1520)*8.77)*2,2),
$BP$57="Fall",ROUND((((BD57*(((52/12)*8.77)/1520)*8.77))/2)*2,2),
$BP$57="Spring",(ROUND((((BD57*(((52/12)*8.77)/1520)*8.77))/2)*2,2)))</f>
        <v>0</v>
      </c>
      <c r="BW57" s="134" cm="1">
        <f t="array" ref="BW57">_xlfn.IFS($BP$57="Full Year", ROUND((((BE57*(52/12)*8.77)/1520)*8.77)*2,2),
$BP$57="Fall",ROUND((((BE57*(((52/12)*8.77)/1520)*8.77))/2)*2,2),
$BP$57="Spring",(ROUND((((BE57*(((52/12)*8.77)/1520)*8.77))/2)*2,2)))</f>
        <v>0</v>
      </c>
      <c r="BX57" s="134" cm="1">
        <f t="array" ref="BX57">_xlfn.IFS($BP$57="Full Year", ROUND((((BF57*(52/12)*8.77)/1520)*8.77)*2,2),
$BP$57="Fall",ROUND((((BF57*(((52/12)*8.77)/1520)*8.77))/2)*2,2),
$BP$57="Spring",(ROUND((((BF57*(((52/12)*8.77)/1520)*8.77))/2)*2,2)))</f>
        <v>0</v>
      </c>
      <c r="BY57" s="134" cm="1">
        <f t="array" ref="BY57">_xlfn.IFS($BP$57="Full Year", ROUND((((BG57*(52/12)*8.77)/1520)*8.77)*2,2),
$BP$57="Fall",ROUND((((BG57*(((52/12)*8.77)/1520)*8.77))/2)*2,2),
$BP$57="Spring",(ROUND((((BG57*(((52/12)*8.77)/1520)*8.77))/2)*2,2)))</f>
        <v>0</v>
      </c>
      <c r="BZ57" s="134" cm="1">
        <f t="array" ref="BZ57">_xlfn.IFS($BP$57="Full Year", ROUND((((BH57*(52/12)*8.77)/1520)*8.77)*2,2),
$BP$57="Fall",ROUND((((BH57*(((52/12)*8.77)/1520)*8.77))/2)*2,2),
$BP$57="Spring",(ROUND((((BH57*(((52/12)*8.77)/1520)*8.77))/2)*2,2)))</f>
        <v>0</v>
      </c>
      <c r="CA57" s="134" cm="1">
        <f t="array" ref="CA57">_xlfn.IFS($BP$57="Full Year", ROUND((((BI57*(52/12)*8.77)/1520)*8.77)*2,2),
$BP$57="Fall",ROUND((((BI57*(((52/12)*8.77)/1520)*8.77))/2)*2,2),
$BP$57="Spring",(ROUND((((BI57*(((52/12)*8.77)/1520)*8.77))/2)*2,2)))</f>
        <v>0</v>
      </c>
      <c r="CB57" s="134" cm="1">
        <f t="array" ref="CB57">_xlfn.IFS($BP$57="Full Year", ROUND((((BJ57*(52/12)*8.77)/1520)*8.77)*2,2),
$BP$57="Fall",ROUND((((BJ57*(((52/12)*8.77)/1520)*8.77))/2)*2,2),
$BP$57="Spring",(ROUND((((BJ57*(((52/12)*8.77)/1520)*8.77))/2)*2,2)))</f>
        <v>0</v>
      </c>
      <c r="CC57" s="566" cm="1">
        <f t="array" ref="CC57">_xlfn.IFS($BP$57="Full Year", ROUND((((BK57*(52/12)*8.77)/1520)*8.77)*2,2),
$BP$57="Fall",ROUND((((BK57*(((52/12)*8.77)/1520)*8.77))/2)*2,2),
$BP$57="Spring",(ROUND((((BK57*(((52/12)*8.77)/1520)*8.77))/2)*2,2)))</f>
        <v>0</v>
      </c>
      <c r="CD57" s="149"/>
      <c r="CE57" s="153"/>
    </row>
    <row r="58" spans="2:83" ht="25.5" customHeight="1" thickBot="1" x14ac:dyDescent="0.3">
      <c r="B58" s="286"/>
      <c r="C58" s="553"/>
      <c r="D58" s="31" t="s">
        <v>208</v>
      </c>
      <c r="E58" s="288"/>
      <c r="F58" s="136"/>
      <c r="G58" s="290"/>
      <c r="H58" s="290"/>
      <c r="I58" s="290"/>
      <c r="J58" s="290"/>
      <c r="K58" s="290"/>
      <c r="L58" s="290"/>
      <c r="M58" s="290"/>
      <c r="N58" s="290"/>
      <c r="O58" s="290"/>
      <c r="P58" s="290"/>
      <c r="Q58" s="204"/>
      <c r="R58" s="692"/>
      <c r="S58" s="134">
        <f>ROUND(((G58*(52/12)*3.23)/560)*3.23,2)</f>
        <v>0</v>
      </c>
      <c r="T58" s="134">
        <f>ROUND(((H58*(52/12)*3.23)/560)*3.23,2)</f>
        <v>0</v>
      </c>
      <c r="U58" s="134">
        <f>ROUND(((I58*(52/12)*3.23)/560)*3.23,2)</f>
        <v>0</v>
      </c>
      <c r="V58" s="134">
        <f>ROUND(((J58*(52/12)*3.23)/560)*3.23,2)</f>
        <v>0</v>
      </c>
      <c r="W58" s="134">
        <f>ROUND(((K58*(52/12)*3.23)/560)*3.23,2)</f>
        <v>0</v>
      </c>
      <c r="X58" s="134">
        <f t="shared" ref="X58:AA58" si="68">ROUND(((L58*(52/12)*3.23)/560)*3.23,2)</f>
        <v>0</v>
      </c>
      <c r="Y58" s="134">
        <f t="shared" si="68"/>
        <v>0</v>
      </c>
      <c r="Z58" s="134">
        <f t="shared" si="68"/>
        <v>0</v>
      </c>
      <c r="AA58" s="134">
        <f t="shared" si="68"/>
        <v>0</v>
      </c>
      <c r="AB58" s="134">
        <f>ROUND(((P58*(52/12)*3.23)/560)*3.23,2)</f>
        <v>0</v>
      </c>
      <c r="AC58"/>
      <c r="AD58" s="292">
        <f>(($E$58*3.23/560*G58*14)*$B$58)*1.03^G$2</f>
        <v>0</v>
      </c>
      <c r="AE58" s="292">
        <f>(($E$58*3.23/560*H58*14)*$B$58)*1.03^H$2</f>
        <v>0</v>
      </c>
      <c r="AF58" s="292">
        <f>(($E$58*3.23/560*I58*14)*$B$58)*1.03^I$2</f>
        <v>0</v>
      </c>
      <c r="AG58" s="292">
        <f>(($E$58*3.23/560*J58*14)*$B$58)*1.03^J$2</f>
        <v>0</v>
      </c>
      <c r="AH58" s="292">
        <f>(($E$58*3.23/560*K58*14)*$B$58)*1.03^K$2</f>
        <v>0</v>
      </c>
      <c r="AI58" s="292">
        <f t="shared" ref="AI58:AM58" si="69">(($E$58*3.23/560*L58*14)*$B$58)*1.03^L$2</f>
        <v>0</v>
      </c>
      <c r="AJ58" s="292">
        <f t="shared" si="69"/>
        <v>0</v>
      </c>
      <c r="AK58" s="292">
        <f t="shared" si="69"/>
        <v>0</v>
      </c>
      <c r="AL58" s="292">
        <f t="shared" si="69"/>
        <v>0</v>
      </c>
      <c r="AM58" s="292">
        <f t="shared" si="69"/>
        <v>0</v>
      </c>
      <c r="AN58" s="69">
        <f>SUM(AD58:AM58)</f>
        <v>0</v>
      </c>
      <c r="AO58" s="518">
        <f t="shared" si="66"/>
        <v>0</v>
      </c>
      <c r="AP58" s="573">
        <f t="shared" ref="AP58:AY58" si="70">(($BQ$58*8.77/760*BB58*14)*$BN$58)*1.03^G$2</f>
        <v>0</v>
      </c>
      <c r="AQ58" s="574">
        <f t="shared" si="70"/>
        <v>0</v>
      </c>
      <c r="AR58" s="574">
        <f t="shared" si="70"/>
        <v>0</v>
      </c>
      <c r="AS58" s="574">
        <f t="shared" si="70"/>
        <v>0</v>
      </c>
      <c r="AT58" s="574">
        <f t="shared" si="70"/>
        <v>0</v>
      </c>
      <c r="AU58" s="574">
        <f t="shared" si="70"/>
        <v>0</v>
      </c>
      <c r="AV58" s="574">
        <f t="shared" si="70"/>
        <v>0</v>
      </c>
      <c r="AW58" s="574">
        <f t="shared" si="70"/>
        <v>0</v>
      </c>
      <c r="AX58" s="574">
        <f t="shared" si="70"/>
        <v>0</v>
      </c>
      <c r="AY58" s="574">
        <f t="shared" si="70"/>
        <v>0</v>
      </c>
      <c r="AZ58" s="575">
        <f t="shared" si="67"/>
        <v>0</v>
      </c>
      <c r="BA58" s="138"/>
      <c r="BB58" s="286"/>
      <c r="BC58" s="286"/>
      <c r="BD58" s="286"/>
      <c r="BE58" s="286"/>
      <c r="BF58" s="286"/>
      <c r="BG58" s="286"/>
      <c r="BH58" s="286"/>
      <c r="BI58" s="286"/>
      <c r="BJ58" s="286"/>
      <c r="BK58" s="286"/>
      <c r="BN58" s="286"/>
      <c r="BO58" s="605"/>
      <c r="BP58" s="31" t="s">
        <v>208</v>
      </c>
      <c r="BQ58" s="288"/>
      <c r="BT58" s="192">
        <f>ROUND(((BB58*(52/12)*3.23)/560)*3.23,2)</f>
        <v>0</v>
      </c>
      <c r="BU58" s="134">
        <f>ROUND(((BC58*(52/12)*3.23)/560)*3.23,2)</f>
        <v>0</v>
      </c>
      <c r="BV58" s="134">
        <f>ROUND(((BD58*(52/12)*3.23)/560)*3.23,2)</f>
        <v>0</v>
      </c>
      <c r="BW58" s="134">
        <f>ROUND(((BE58*(52/12)*3.23)/560)*3.23,2)</f>
        <v>0</v>
      </c>
      <c r="BX58" s="134">
        <f t="shared" ref="BX58:CC58" si="71">ROUND(((BF58*(52/12)*3.23)/560)*3.23,2)</f>
        <v>0</v>
      </c>
      <c r="BY58" s="134">
        <f t="shared" si="71"/>
        <v>0</v>
      </c>
      <c r="BZ58" s="134">
        <f t="shared" si="71"/>
        <v>0</v>
      </c>
      <c r="CA58" s="134">
        <f t="shared" si="71"/>
        <v>0</v>
      </c>
      <c r="CB58" s="134">
        <f t="shared" si="71"/>
        <v>0</v>
      </c>
      <c r="CC58" s="566">
        <f t="shared" si="71"/>
        <v>0</v>
      </c>
      <c r="CD58" s="149"/>
    </row>
    <row r="59" spans="2:83" ht="25.5" customHeight="1" outlineLevel="1" x14ac:dyDescent="0.25">
      <c r="B59" s="285"/>
      <c r="C59" s="552" t="s">
        <v>209</v>
      </c>
      <c r="D59" s="202" t="s">
        <v>206</v>
      </c>
      <c r="E59" s="287"/>
      <c r="F59" s="136"/>
      <c r="G59" s="289"/>
      <c r="H59" s="289"/>
      <c r="I59" s="289"/>
      <c r="J59" s="289"/>
      <c r="K59" s="289"/>
      <c r="L59" s="289"/>
      <c r="M59" s="289"/>
      <c r="N59" s="289"/>
      <c r="O59" s="289"/>
      <c r="P59" s="289"/>
      <c r="Q59" s="204"/>
      <c r="R59" s="692"/>
      <c r="S59" s="134" cm="1">
        <f t="array" ref="S59">_xlfn.IFS($D$59="Full Year", ROUND((((G59*(52/12)*8.77)/1520)*8.77)*2,2),
$D$59="Fall",ROUND((((G59*(((52/12)*8.77)/1520)*8.77))/2)*2,2),
$D$59="Spring",(ROUND((((G59*(((52/12)*8.77)/1520)*8.77))/2)*2,2)))</f>
        <v>0</v>
      </c>
      <c r="T59" s="134" cm="1">
        <f t="array" ref="T59">_xlfn.IFS($D$59="Full Year", ROUND((((H59*(52/12)*8.77)/1520)*8.77)*2,2),
$D$59="Fall",ROUND((((H59*(((52/12)*8.77)/1520)*8.77))/2)*2,2),
$D$59="Spring",(ROUND((((H59*(((52/12)*8.77)/1520)*8.77))/2)*2,2)))</f>
        <v>0</v>
      </c>
      <c r="U59" s="134" cm="1">
        <f t="array" ref="U59">_xlfn.IFS($D$59="Full Year", ROUND((((I59*(52/12)*8.77)/1520)*8.77)*2,2),
$D$59="Fall",ROUND((((I59*(((52/12)*8.77)/1520)*8.77))/2)*2,2),
$D$59="Spring",(ROUND((((I59*(((52/12)*8.77)/1520)*8.77))/2)*2,2)))</f>
        <v>0</v>
      </c>
      <c r="V59" s="134" cm="1">
        <f t="array" ref="V59">_xlfn.IFS($D$59="Full Year", ROUND((((J59*(52/12)*8.77)/1520)*8.77)*2,2),
$D$59="Fall",ROUND((((J59*(((52/12)*8.77)/1520)*8.77))/2)*2,2),
$D$59="Spring",(ROUND((((J59*(((52/12)*8.77)/1520)*8.77))/2)*2,2)))</f>
        <v>0</v>
      </c>
      <c r="W59" s="134" cm="1">
        <f t="array" ref="W59">_xlfn.IFS($D$59="Full Year", ROUND((((K59*(52/12)*8.77)/1520)*8.77)*2,2),
$D$59="Fall",ROUND((((K59*(((52/12)*8.77)/1520)*8.77))/2)*2,2),
$D$59="Spring",(ROUND((((K59*(((52/12)*8.77)/1520)*8.77))/2)*2,2)))</f>
        <v>0</v>
      </c>
      <c r="X59" s="134" cm="1">
        <f t="array" ref="X59">_xlfn.IFS($D$59="Full Year", ROUND((((L59*(52/12)*8.77)/1520)*8.77)*2,2),
$D$59="Fall",ROUND((((L59*(((52/12)*8.77)/1520)*8.77))/2)*2,2),
$D$59="Spring",(ROUND((((L59*(((52/12)*8.77)/1520)*8.77))/2)*2,2)))</f>
        <v>0</v>
      </c>
      <c r="Y59" s="134" cm="1">
        <f t="array" ref="Y59">_xlfn.IFS($D$59="Full Year", ROUND((((M59*(52/12)*8.77)/1520)*8.77)*2,2),
$D$59="Fall",ROUND((((M59*(((52/12)*8.77)/1520)*8.77))/2)*2,2),
$D$59="Spring",(ROUND((((M59*(((52/12)*8.77)/1520)*8.77))/2)*2,2)))</f>
        <v>0</v>
      </c>
      <c r="Z59" s="134" cm="1">
        <f t="array" ref="Z59">_xlfn.IFS($D$59="Full Year", ROUND((((N59*(52/12)*8.77)/1520)*8.77)*2,2),
$D$59="Fall",ROUND((((N59*(((52/12)*8.77)/1520)*8.77))/2)*2,2),
$D$59="Spring",(ROUND((((N59*(((52/12)*8.77)/1520)*8.77))/2)*2,2)))</f>
        <v>0</v>
      </c>
      <c r="AA59" s="134" cm="1">
        <f t="array" ref="AA59">_xlfn.IFS($D$59="Full Year", ROUND((((O59*(52/12)*8.77)/1520)*8.77)*2,2),
$D$59="Fall",ROUND((((O59*(((52/12)*8.77)/1520)*8.77))/2)*2,2),
$D$59="Spring",(ROUND((((O59*(((52/12)*8.77)/1520)*8.77))/2)*2,2)))</f>
        <v>0</v>
      </c>
      <c r="AB59" s="134" cm="1">
        <f t="array" ref="AB59">_xlfn.IFS($D$59="Full Year", ROUND((((P59*(52/12)*8.77)/1520)*8.77)*2,2),
$D$59="Fall",ROUND((((P59*(((52/12)*8.77)/1520)*8.77))/2)*2,2),
$D$59="Spring",(ROUND((((P59*(((52/12)*8.77)/1520)*8.77))/2)*2,2)))</f>
        <v>0</v>
      </c>
      <c r="AC59"/>
      <c r="AD59" s="291" cm="1">
        <f t="array" ref="AD59">_xlfn.IFS($D$59="Full year", ((($E$59*8.77/760*G59*38)*$B$59)*1.03^G$2),
$D$59="Fall", ((($E$59*8.77/760*G59*19)*$B$59)*1.03^G$2),
$D$59="Spring",(($E$59*8.77/760*G59*19)*$B$59)*1.03^G$2)</f>
        <v>0</v>
      </c>
      <c r="AE59" s="291" cm="1">
        <f t="array" ref="AE59">_xlfn.IFS($D$59="Full year", ((($E$59*8.77/760*H59*38)*$B$59)*1.03^H$2),
$D$59="Fall", ((($E$59*8.77/760*H59*19)*$B$59)*1.03^H$2),
$D$59="Spring",(($E$59*8.77/760*H59*19)*$B$59)*1.03^H$2)</f>
        <v>0</v>
      </c>
      <c r="AF59" s="291" cm="1">
        <f t="array" ref="AF59">_xlfn.IFS($D$59="Full year", ((($E$59*8.77/760*I59*38)*$B$59)*1.03^I$2),
$D$59="Fall", ((($E$59*8.77/760*I59*19)*$B$59)*1.03^I$2),
$D$59="Spring",(($E$59*8.77/760*I59*19)*$B$59)*1.03^I$2)</f>
        <v>0</v>
      </c>
      <c r="AG59" s="291" cm="1">
        <f t="array" ref="AG59">_xlfn.IFS($D$59="Full year", ((($E$59*8.77/760*J59*38)*$B$59)*1.03^J$2),
$D$59="Fall", ((($E$59*8.77/760*J59*19)*$B$59)*1.03^J$2),
$D$59="Spring",(($E$59*8.77/760*J59*19)*$B$59)*1.03^J$2)</f>
        <v>0</v>
      </c>
      <c r="AH59" s="291" cm="1">
        <f t="array" ref="AH59">_xlfn.IFS($D$59="Full year", ((($E$59*8.77/760*K59*38)*$B$59)*1.03^K$2),
$D$59="Fall", ((($E$59*8.77/760*K59*19)*$B$59)*1.03^K$2),
$D$59="Spring",(($E$59*8.77/760*K59*19)*$B$59)*1.03^K$2)</f>
        <v>0</v>
      </c>
      <c r="AI59" s="291" cm="1">
        <f t="array" ref="AI59">_xlfn.IFS($D$59="Full year", ((($E$59*8.77/760*L59*38)*$B$59)*1.03^L$2),
$D$59="Fall", ((($E$59*8.77/760*L59*19)*$B$59)*1.03^L$2),
$D$59="Spring",(($E$59*8.77/760*L59*19)*$B$59)*1.03^L$2)</f>
        <v>0</v>
      </c>
      <c r="AJ59" s="291" cm="1">
        <f t="array" ref="AJ59">_xlfn.IFS($D$59="Full year", ((($E$59*8.77/760*M59*38)*$B$59)*1.03^M$2),
$D$59="Fall", ((($E$59*8.77/760*M59*19)*$B$59)*1.03^M$2),
$D$59="Spring",(($E$59*8.77/760*M59*19)*$B$59)*1.03^M$2)</f>
        <v>0</v>
      </c>
      <c r="AK59" s="291" cm="1">
        <f t="array" ref="AK59">_xlfn.IFS($D$59="Full year", ((($E$59*8.77/760*N59*38)*$B$59)*1.03^N$2),
$D$59="Fall", ((($E$59*8.77/760*N59*19)*$B$59)*1.03^N$2),
$D$59="Spring",(($E$59*8.77/760*N59*19)*$B$59)*1.03^N$2)</f>
        <v>0</v>
      </c>
      <c r="AL59" s="291" cm="1">
        <f t="array" ref="AL59">_xlfn.IFS($D$59="Full year", ((($E$59*8.77/760*O59*38)*$B$59)*1.03^O$2),
$D$59="Fall", ((($E$59*8.77/760*O59*19)*$B$59)*1.03^O$2),
$D$59="Spring",(($E$59*8.77/760*O59*19)*$B$59)*1.03^O$2)</f>
        <v>0</v>
      </c>
      <c r="AM59" s="291" cm="1">
        <f t="array" ref="AM59">_xlfn.IFS($D$59="Full year", ((($E$59*8.77/760*P59*38)*$B$59)*1.03^P$2),
$D$59="Fall", ((($E$59*8.77/760*P59*19)*$B$59)*1.03^P$2),
$D$59="Spring",(($E$59*8.77/760*P59*19)*$B$59)*1.03^P$2)</f>
        <v>0</v>
      </c>
      <c r="AN59" s="313">
        <f t="shared" ref="AN59:AN66" si="72">SUM(AD59:AM59)</f>
        <v>0</v>
      </c>
      <c r="AO59" s="518">
        <f t="shared" si="66"/>
        <v>0</v>
      </c>
      <c r="AP59" s="576" cm="1">
        <f t="array" ref="AP59">_xlfn.IFS($BP$59="Full year", ((($BQ$59*8.77/760*BB59*38)*$BN$59)*1.03^G$2),
$BP$59="Fall", ((($BQ$59*8.77/760*BB59*19)*$BN$59)*1.03^G$2),
$BP$59="Spring",(($BQ$59*8.77/760*BB59*19)*$BN$59)*1.03^G$2)</f>
        <v>0</v>
      </c>
      <c r="AQ59" s="577" cm="1">
        <f t="array" ref="AQ59">_xlfn.IFS($BP$59="Full year", ((($BQ$59*8.77/760*BC59*38)*$BN$59)*1.03^H$2),
 $BP$59="Fall", ((($BQ$59*8.77/760*BC59*19)*$BN$59)*1.03^H$2),
$BP$59="Spring",(($BQ$59*8.77/760*BC59*19)*BN$59)*1.03^H$2)</f>
        <v>0</v>
      </c>
      <c r="AR59" s="577" cm="1">
        <f t="array" ref="AR59">_xlfn.IFS($BP$59="Full year", ((($BQ$59*8.77/760*BD59*38)*$BN$59)*1.03^I$2),
 $BP$59="Fall", ((($BQ$59*8.77/760*BD59*19)*$BN$59)*1.03^I$2),
$BP$59="Spring",(($BQ$59*8.77/760*BD59*19)*$BN$59)*1.03^I$2)</f>
        <v>0</v>
      </c>
      <c r="AS59" s="577" cm="1">
        <f t="array" ref="AS59">_xlfn.IFS($BP$59="Full year", ((($BQ$59*8.77/760*BE59*38)*$BN$59)*1.03^J$2),
 $BP$59="Fall", ((($BQ$59*8.77/760*BE59*19)*$BN$59)*1.03^J$2),
$BP$59="Spring",(($BQ$59*8.77/760*BE59*19)*$BN$59)*1.03^J$2)</f>
        <v>0</v>
      </c>
      <c r="AT59" s="577" cm="1">
        <f t="array" ref="AT59">_xlfn.IFS($BP$59="Full year", ((($BQ$59*8.77/760*BF59*38)*$BN$59)*1.03^K$2),
 $BP$59="Fall", ((($BQ$59*8.77/760*BF59*19)*$BN$59)*1.03^K$2),
$BP$59="Spring",(($BQ$59*8.77/760*BF59*19)*$BN$59)*1.03^K$2)</f>
        <v>0</v>
      </c>
      <c r="AU59" s="577" cm="1">
        <f t="array" ref="AU59">_xlfn.IFS($BP$59="Full year", ((($BQ$59*8.77/760*BG59*38)*$BN$59)*1.03^L$2),
 $BP$59="Fall", ((($BQ$59*8.77/760*BG59*19)*$BN$59)*1.03^L$2),
$BP$59="Spring",(($BQ$59*8.77/760*BG59*19)*$BN$59)*1.03^L$2)</f>
        <v>0</v>
      </c>
      <c r="AV59" s="577" cm="1">
        <f t="array" ref="AV59">_xlfn.IFS($BP$59="Full year", ((($BQ$59*8.77/760*BH59*38)*$BN$59)*1.03^M$2),
 $BP$59="Fall", ((($BQ$59*8.77/760*BH59*19)*$BN$59)*1.03^M$2),
$BP$59="Spring",(($BQ$59*8.77/760*BH59*19)*$BN$59)*1.03^M$2)</f>
        <v>0</v>
      </c>
      <c r="AW59" s="577" cm="1">
        <f t="array" ref="AW59">_xlfn.IFS($BP$59="Full year", ((($BQ$59*8.77/760*BI59*38)*$BN$59)*1.03^N$2),
 $BP$59="Fall", ((($BQ$59*8.77/760*BI59*19)*$BN$59)*1.03^N$2),
$BP$59="Spring",(($BQ$59*8.77/760*BI59*19)*$BN$59)*1.03^N$2)</f>
        <v>0</v>
      </c>
      <c r="AX59" s="577" cm="1">
        <f t="array" ref="AX59">_xlfn.IFS($BP$59="Full year", ((($BQ$59*8.77/760*BJ59*38)*$BN$59)*1.03^O$2),
 $BP$59="Fall", ((($BQ$59*8.77/760*BJ59*19)*$BN$59)*1.03^O$2),
$BP$59="Spring",(($BQ$59*8.77/760*BJ59*19)*$BN$59)*1.03^O$2)</f>
        <v>0</v>
      </c>
      <c r="AY59" s="577" cm="1">
        <f t="array" ref="AY59">_xlfn.IFS($BP$59="Full year", ((($BQ$59*8.77/760*BK59*38)*$BN$59)*1.03^P$2),
 $BP$59="Fall", ((($BQ$59*8.77/760*BK59*19)*$BN$59)*1.03^P$2),
$BP$59="Spring",(($BQ$59*8.77/760*BK59*19)*$BN$59)*1.03^P$2)</f>
        <v>0</v>
      </c>
      <c r="AZ59" s="578">
        <f t="shared" si="67"/>
        <v>0</v>
      </c>
      <c r="BA59" s="138"/>
      <c r="BB59" s="285"/>
      <c r="BC59" s="285"/>
      <c r="BD59" s="285"/>
      <c r="BE59" s="285"/>
      <c r="BF59" s="285"/>
      <c r="BG59" s="285"/>
      <c r="BH59" s="285"/>
      <c r="BI59" s="285"/>
      <c r="BJ59" s="285"/>
      <c r="BK59" s="285"/>
      <c r="BN59" s="285"/>
      <c r="BO59" s="604" t="s">
        <v>210</v>
      </c>
      <c r="BP59" s="202" t="s">
        <v>206</v>
      </c>
      <c r="BQ59" s="287"/>
      <c r="BT59" s="192" cm="1">
        <f t="array" ref="BT59">_xlfn.IFS($BP$59="Full Year", ROUND((((BB59*(52/12)*8.77)/1520)*8.77)*2,2),
$BP$59="Fall", ROUND((((BB59*(((52/12)*8.77)/1520)*8.77))/2)*2,2),
$BP$59="Spring",(ROUND((((BB59*(((52/12)*8.77)/1520)*8.77))/2)*2,2)))</f>
        <v>0</v>
      </c>
      <c r="BU59" s="134" cm="1">
        <f t="array" ref="BU59">_xlfn.IFS($BP$59="Full Year", ROUND((((BC59*(52/12)*8.77)/1520)*8.77)*2,2),
$BP$59="Fall", ROUND((((BC59*(((52/12)*8.77)/1520)*8.77))/2)*2,2),
$BP$59="Spring",(ROUND((((BC59*(((52/12)*8.77)/1520)*8.77))/2)*2,2)))</f>
        <v>0</v>
      </c>
      <c r="BV59" s="134" cm="1">
        <f t="array" ref="BV59">_xlfn.IFS($BP$59="Full Year", ROUND((((BD59*(52/12)*8.77)/1520)*8.77)*2,2),
$BP$59="Fall", ROUND((((BD59*(((52/12)*8.77)/1520)*8.77))/2)*2,2),
$BP$59="Spring",(ROUND((((BD59*(((52/12)*8.77)/1520)*8.77))/2)*2,2)))</f>
        <v>0</v>
      </c>
      <c r="BW59" s="134" cm="1">
        <f t="array" ref="BW59">_xlfn.IFS($BP$59="Full Year", ROUND((((BE59*(52/12)*8.77)/1520)*8.77)*2,2),
$BP$59="Fall", ROUND((((BE59*(((52/12)*8.77)/1520)*8.77))/2)*2,2),
$BP$59="Spring",(ROUND((((BE59*(((52/12)*8.77)/1520)*8.77))/2)*2,2)))</f>
        <v>0</v>
      </c>
      <c r="BX59" s="134" cm="1">
        <f t="array" ref="BX59">_xlfn.IFS($BP$59="Full Year", ROUND((((BF59*(52/12)*8.77)/1520)*8.77)*2,2),
$BP$59="Fall", ROUND((((BF59*(((52/12)*8.77)/1520)*8.77))/2)*2,2),
$BP$59="Spring",(ROUND((((BF59*(((52/12)*8.77)/1520)*8.77))/2)*2,2)))</f>
        <v>0</v>
      </c>
      <c r="BY59" s="134" cm="1">
        <f t="array" ref="BY59">_xlfn.IFS($BP$59="Full Year", ROUND((((BG59*(52/12)*8.77)/1520)*8.77)*2,2),
$BP$59="Fall", ROUND((((BG59*(((52/12)*8.77)/1520)*8.77))/2)*2,2),
$BP$59="Spring",(ROUND((((BG59*(((52/12)*8.77)/1520)*8.77))/2)*2,2)))</f>
        <v>0</v>
      </c>
      <c r="BZ59" s="134" cm="1">
        <f t="array" ref="BZ59">_xlfn.IFS($BP$59="Full Year", ROUND((((BH59*(52/12)*8.77)/1520)*8.77)*2,2),
$BP$59="Fall", ROUND((((BH59*(((52/12)*8.77)/1520)*8.77))/2)*2,2),
$BP$59="Spring",(ROUND((((BH59*(((52/12)*8.77)/1520)*8.77))/2)*2,2)))</f>
        <v>0</v>
      </c>
      <c r="CA59" s="134" cm="1">
        <f t="array" ref="CA59">_xlfn.IFS($BP$59="Full Year", ROUND((((BI59*(52/12)*8.77)/1520)*8.77)*2,2),
$BP$59="Fall", ROUND((((BI59*(((52/12)*8.77)/1520)*8.77))/2)*2,2),
$BP$59="Spring",(ROUND((((BI59*(((52/12)*8.77)/1520)*8.77))/2)*2,2)))</f>
        <v>0</v>
      </c>
      <c r="CB59" s="134" cm="1">
        <f t="array" ref="CB59">_xlfn.IFS($BP$59="Full Year", ROUND((((BJ59*(52/12)*8.77)/1520)*8.77)*2,2),
$BP$59="Fall", ROUND((((BJ59*(((52/12)*8.77)/1520)*8.77))/2)*2,2),
$BP$59="Spring",(ROUND((((BJ59*(((52/12)*8.77)/1520)*8.77))/2)*2,2)))</f>
        <v>0</v>
      </c>
      <c r="CC59" s="566" cm="1">
        <f t="array" ref="CC59">_xlfn.IFS($BP$59="Full Year", ROUND((((BK59*(52/12)*8.77)/1520)*8.77)*2,2),
$BP$59="Fall", ROUND((((BK59*(((52/12)*8.77)/1520)*8.77))/2)*2,2),
$BP$59="Spring",(ROUND((((BK59*(((52/12)*8.77)/1520)*8.77))/2)*2,2)))</f>
        <v>0</v>
      </c>
      <c r="CD59" s="149"/>
    </row>
    <row r="60" spans="2:83" ht="25.5" customHeight="1" outlineLevel="1" thickBot="1" x14ac:dyDescent="0.3">
      <c r="B60" s="286"/>
      <c r="C60" s="553"/>
      <c r="D60" s="31" t="s">
        <v>208</v>
      </c>
      <c r="E60" s="288"/>
      <c r="F60" s="136"/>
      <c r="G60" s="290"/>
      <c r="H60" s="290"/>
      <c r="I60" s="290"/>
      <c r="J60" s="290"/>
      <c r="K60" s="290"/>
      <c r="L60" s="290"/>
      <c r="M60" s="290"/>
      <c r="N60" s="290"/>
      <c r="O60" s="290"/>
      <c r="P60" s="290"/>
      <c r="Q60" s="204"/>
      <c r="R60" s="692"/>
      <c r="S60" s="134">
        <f>ROUND(((G60*(52/12)*3.23)/560)*3.23,2)</f>
        <v>0</v>
      </c>
      <c r="T60" s="134">
        <f>ROUND(((H60*(52/12)*3.23)/560)*3.23,2)</f>
        <v>0</v>
      </c>
      <c r="U60" s="134">
        <f>ROUND(((I60*(52/12)*3.23)/560)*3.23,2)</f>
        <v>0</v>
      </c>
      <c r="V60" s="134">
        <f>ROUND(((J60*(52/12)*3.23)/560)*3.23,2)</f>
        <v>0</v>
      </c>
      <c r="W60" s="134">
        <f>ROUND(((K60*(52/12)*3.23)/560)*3.23,2)</f>
        <v>0</v>
      </c>
      <c r="X60" s="134">
        <f t="shared" ref="X60:AB60" si="73">ROUND(((L60*(52/12)*3.23)/560)*3.23,2)</f>
        <v>0</v>
      </c>
      <c r="Y60" s="134">
        <f t="shared" si="73"/>
        <v>0</v>
      </c>
      <c r="Z60" s="134">
        <f t="shared" si="73"/>
        <v>0</v>
      </c>
      <c r="AA60" s="134">
        <f t="shared" si="73"/>
        <v>0</v>
      </c>
      <c r="AB60" s="134">
        <f t="shared" si="73"/>
        <v>0</v>
      </c>
      <c r="AC60"/>
      <c r="AD60" s="292">
        <f>(($E$60*3.23/560*G60*14)*$B$60)*1.03^G$2</f>
        <v>0</v>
      </c>
      <c r="AE60" s="292">
        <f>(($E$60*3.23/560*H60*14)*$B$60)*1.03^H$2</f>
        <v>0</v>
      </c>
      <c r="AF60" s="292">
        <f>(($E$60*3.23/560*I60*14)*$B$60)*1.03^I$2</f>
        <v>0</v>
      </c>
      <c r="AG60" s="292">
        <f>(($E$60*3.23/560*J60*14)*$B$60)*1.03^J$2</f>
        <v>0</v>
      </c>
      <c r="AH60" s="292">
        <f>(($E$60*3.23/560*K60*14)*$B$60)*1.03^K$2</f>
        <v>0</v>
      </c>
      <c r="AI60" s="292">
        <f t="shared" ref="AI60:AM60" si="74">(($E$60*3.23/560*L60*14)*$B$60)*1.03^L$2</f>
        <v>0</v>
      </c>
      <c r="AJ60" s="292">
        <f t="shared" si="74"/>
        <v>0</v>
      </c>
      <c r="AK60" s="292">
        <f t="shared" si="74"/>
        <v>0</v>
      </c>
      <c r="AL60" s="292">
        <f t="shared" si="74"/>
        <v>0</v>
      </c>
      <c r="AM60" s="292">
        <f t="shared" si="74"/>
        <v>0</v>
      </c>
      <c r="AN60" s="315">
        <f t="shared" si="72"/>
        <v>0</v>
      </c>
      <c r="AO60" s="518">
        <f t="shared" si="66"/>
        <v>0</v>
      </c>
      <c r="AP60" s="573">
        <f t="shared" ref="AP60:AY60" si="75">(($BQ$60*8.77/760*BB60*14)*$BN$60)*1.03^G$2</f>
        <v>0</v>
      </c>
      <c r="AQ60" s="574">
        <f t="shared" si="75"/>
        <v>0</v>
      </c>
      <c r="AR60" s="574">
        <f t="shared" si="75"/>
        <v>0</v>
      </c>
      <c r="AS60" s="574">
        <f t="shared" si="75"/>
        <v>0</v>
      </c>
      <c r="AT60" s="574">
        <f t="shared" si="75"/>
        <v>0</v>
      </c>
      <c r="AU60" s="574">
        <f t="shared" si="75"/>
        <v>0</v>
      </c>
      <c r="AV60" s="574">
        <f t="shared" si="75"/>
        <v>0</v>
      </c>
      <c r="AW60" s="574">
        <f t="shared" si="75"/>
        <v>0</v>
      </c>
      <c r="AX60" s="574">
        <f t="shared" si="75"/>
        <v>0</v>
      </c>
      <c r="AY60" s="574">
        <f t="shared" si="75"/>
        <v>0</v>
      </c>
      <c r="AZ60" s="575">
        <f t="shared" si="67"/>
        <v>0</v>
      </c>
      <c r="BA60" s="138"/>
      <c r="BB60" s="286"/>
      <c r="BC60" s="286"/>
      <c r="BD60" s="286"/>
      <c r="BE60" s="286"/>
      <c r="BF60" s="286"/>
      <c r="BG60" s="286"/>
      <c r="BH60" s="286"/>
      <c r="BI60" s="286"/>
      <c r="BJ60" s="286"/>
      <c r="BK60" s="286"/>
      <c r="BN60" s="286"/>
      <c r="BO60" s="605"/>
      <c r="BP60" s="31" t="s">
        <v>208</v>
      </c>
      <c r="BQ60" s="288"/>
      <c r="BT60" s="192">
        <f>ROUND(((BB60*(52/12)*3.23)/560)*3.23,2)</f>
        <v>0</v>
      </c>
      <c r="BU60" s="134">
        <f>ROUND(((BC60*(52/12)*3.23)/560)*3.23,2)</f>
        <v>0</v>
      </c>
      <c r="BV60" s="134">
        <f>ROUND(((BD60*(52/12)*3.23)/560)*3.23,2)</f>
        <v>0</v>
      </c>
      <c r="BW60" s="134">
        <f>ROUND(((BE60*(52/12)*3.23)/560)*3.23,2)</f>
        <v>0</v>
      </c>
      <c r="BX60" s="134">
        <f t="shared" ref="BX60:CC60" si="76">ROUND(((BF60*(52/12)*3.23)/560)*3.23,2)</f>
        <v>0</v>
      </c>
      <c r="BY60" s="134">
        <f t="shared" si="76"/>
        <v>0</v>
      </c>
      <c r="BZ60" s="134">
        <f t="shared" si="76"/>
        <v>0</v>
      </c>
      <c r="CA60" s="134">
        <f t="shared" si="76"/>
        <v>0</v>
      </c>
      <c r="CB60" s="134">
        <f t="shared" si="76"/>
        <v>0</v>
      </c>
      <c r="CC60" s="566">
        <f t="shared" si="76"/>
        <v>0</v>
      </c>
      <c r="CD60" s="149"/>
    </row>
    <row r="61" spans="2:83" ht="25.5" customHeight="1" outlineLevel="1" x14ac:dyDescent="0.25">
      <c r="B61" s="285"/>
      <c r="C61" s="552" t="s">
        <v>211</v>
      </c>
      <c r="D61" s="202" t="s">
        <v>206</v>
      </c>
      <c r="E61" s="287"/>
      <c r="F61" s="136"/>
      <c r="G61" s="289"/>
      <c r="H61" s="289"/>
      <c r="I61" s="289"/>
      <c r="J61" s="289"/>
      <c r="K61" s="289"/>
      <c r="L61" s="289"/>
      <c r="M61" s="289"/>
      <c r="N61" s="289"/>
      <c r="O61" s="289"/>
      <c r="P61" s="289"/>
      <c r="Q61" s="204"/>
      <c r="R61" s="692"/>
      <c r="S61" s="134" cm="1">
        <f t="array" ref="S61">_xlfn.IFS($D$61="Full Year", ROUND((((G61*(52/12)*8.77)/1520)*8.77)*2,2),
$D$61="Fall", ROUND((((G61*(((52/12)*8.77)/1520)*8.77))/2)*2,2),
$D$61="Spring", (ROUND((((G61*(((52/12)*8.77)/1520)*8.77))/2)*2,2)))</f>
        <v>0</v>
      </c>
      <c r="T61" s="134" cm="1">
        <f t="array" ref="T61">_xlfn.IFS($D$61="Full Year", ROUND((((H61*(52/12)*8.77)/1520)*8.77)*2,2),
$D$61="Fall", ROUND((((H61*(((52/12)*8.77)/1520)*8.77))/2)*2,2),
$D$61="Spring", (ROUND((((H61*(((52/12)*8.77)/1520)*8.77))/2)*2,2)))</f>
        <v>0</v>
      </c>
      <c r="U61" s="134" cm="1">
        <f t="array" ref="U61">_xlfn.IFS($D$61="Full Year", ROUND((((I61*(52/12)*8.77)/1520)*8.77)*2,2),
$D$61="Fall", ROUND((((I61*(((52/12)*8.77)/1520)*8.77))/2)*2,2),
$D$61="Spring", (ROUND((((I61*(((52/12)*8.77)/1520)*8.77))/2)*2,2)))</f>
        <v>0</v>
      </c>
      <c r="V61" s="134" cm="1">
        <f t="array" ref="V61">_xlfn.IFS($D$61="Full Year", ROUND((((J61*(52/12)*8.77)/1520)*8.77)*2,2),
$D$61="Fall", ROUND((((J61*(((52/12)*8.77)/1520)*8.77))/2)*2,2),
$D$61="Spring", (ROUND((((J61*(((52/12)*8.77)/1520)*8.77))/2)*2,2)))</f>
        <v>0</v>
      </c>
      <c r="W61" s="134" cm="1">
        <f t="array" ref="W61">_xlfn.IFS($D$61="Full Year", ROUND((((K61*(52/12)*8.77)/1520)*8.77)*2,2),
$D$61="Fall", ROUND((((K61*(((52/12)*8.77)/1520)*8.77))/2)*2,2),
$D$61="Spring", (ROUND((((K61*(((52/12)*8.77)/1520)*8.77))/2)*2,2)))</f>
        <v>0</v>
      </c>
      <c r="X61" s="134" cm="1">
        <f t="array" ref="X61">_xlfn.IFS($D$61="Full Year", ROUND((((L61*(52/12)*8.77)/1520)*8.77)*2,2),
$D$61="Fall", ROUND((((L61*(((52/12)*8.77)/1520)*8.77))/2)*2,2),
$D$61="Spring", (ROUND((((L61*(((52/12)*8.77)/1520)*8.77))/2)*2,2)))</f>
        <v>0</v>
      </c>
      <c r="Y61" s="134" cm="1">
        <f t="array" ref="Y61">_xlfn.IFS($D$61="Full Year", ROUND((((M61*(52/12)*8.77)/1520)*8.77)*2,2),
$D$61="Fall", ROUND((((M61*(((52/12)*8.77)/1520)*8.77))/2)*2,2),
$D$61="Spring", (ROUND((((M61*(((52/12)*8.77)/1520)*8.77))/2)*2,2)))</f>
        <v>0</v>
      </c>
      <c r="Z61" s="134" cm="1">
        <f t="array" ref="Z61">_xlfn.IFS($D$61="Full Year", ROUND((((N61*(52/12)*8.77)/1520)*8.77)*2,2),
$D$61="Fall", ROUND((((N61*(((52/12)*8.77)/1520)*8.77))/2)*2,2),
$D$61="Spring", (ROUND((((N61*(((52/12)*8.77)/1520)*8.77))/2)*2,2)))</f>
        <v>0</v>
      </c>
      <c r="AA61" s="134" cm="1">
        <f t="array" ref="AA61">_xlfn.IFS($D$61="Full Year", ROUND((((O61*(52/12)*8.77)/1520)*8.77)*2,2),
$D$61="Fall", ROUND((((O61*(((52/12)*8.77)/1520)*8.77))/2)*2,2),
$D$61="Spring", (ROUND((((O61*(((52/12)*8.77)/1520)*8.77))/2)*2,2)))</f>
        <v>0</v>
      </c>
      <c r="AB61" s="134" cm="1">
        <f t="array" ref="AB61">_xlfn.IFS($D$61="Full Year", ROUND((((P61*(52/12)*8.77)/1520)*8.77)*2,2),
$D$61="Fall", ROUND((((P61*(((52/12)*8.77)/1520)*8.77))/2)*2,2),
$D$61="Spring", (ROUND((((P61*(((52/12)*8.77)/1520)*8.77))/2)*2,2)))</f>
        <v>0</v>
      </c>
      <c r="AC61"/>
      <c r="AD61" s="291" cm="1">
        <f t="array" ref="AD61">_xlfn.IFS($D$61="Full year", ((($E$61*8.77/760*G61*38)*$B$61)*1.03^G$2),
$D$61="Fall", ((($E$61*8.77/760*G61*19)*$B$61)*1.03^G$2),
$D$61="Spring",(($E$61*8.77/760*G61*19)*$B$61)*1.03^G$2)</f>
        <v>0</v>
      </c>
      <c r="AE61" s="291" cm="1">
        <f t="array" ref="AE61">_xlfn.IFS($D$61="Full year", ((($E$61*8.77/760*H61*38)*$B$61)*1.03^H$2),
$D$61="Fall", ((($E$61*8.77/760*H61*19)*$B$61)*1.03^H$2),
$D$61="Spring",(($E$61*8.77/760*H61*19)*$B$61)*1.03^H$2)</f>
        <v>0</v>
      </c>
      <c r="AF61" s="291" cm="1">
        <f t="array" ref="AF61">_xlfn.IFS($D$61="Full year", ((($E$61*8.77/760*I61*38)*$B$61)*1.03^I$2),
$D$61="Fall", ((($E$61*8.77/760*I61*19)*$B$61)*1.03^I$2),
$D$61="Spring",(($E$61*8.77/760*I61*19)*$B$61)*1.03^I$2)</f>
        <v>0</v>
      </c>
      <c r="AG61" s="291" cm="1">
        <f t="array" ref="AG61">_xlfn.IFS($D$61="Full year", ((($E$61*8.77/760*J61*38)*$B$61)*1.03^J$2),
$D$61="Fall", ((($E$61*8.77/760*J61*19)*$B$61)*1.03^J$2),
$D$61="Spring",(($E$61*8.77/760*J61*19)*$B$61)*1.03^J$2)</f>
        <v>0</v>
      </c>
      <c r="AH61" s="291" cm="1">
        <f t="array" ref="AH61">_xlfn.IFS($D$61="Full year", ((($E$61*8.77/760*K61*38)*$B$61)*1.03^K$2),
$D$61="Fall", ((($E$61*8.77/760*K61*19)*$B$61)*1.03^K$2),
$D$61="Spring",(($E$61*8.77/760*K61*19)*$B$61)*1.03^K$2)</f>
        <v>0</v>
      </c>
      <c r="AI61" s="291" cm="1">
        <f t="array" ref="AI61">_xlfn.IFS($D$61="Full year", ((($E$61*8.77/760*L61*38)*$B$61)*1.03^L$2),
$D$61="Fall", ((($E$61*8.77/760*L61*19)*$B$61)*1.03^L$2),
$D$61="Spring",(($E$61*8.77/760*L61*19)*$B$61)*1.03^L$2)</f>
        <v>0</v>
      </c>
      <c r="AJ61" s="291" cm="1">
        <f t="array" ref="AJ61">_xlfn.IFS($D$61="Full year", ((($E$61*8.77/760*M61*38)*$B$61)*1.03^M$2),
$D$61="Fall", ((($E$61*8.77/760*M61*19)*$B$61)*1.03^M$2),
$D$61="Spring",(($E$61*8.77/760*M61*19)*$B$61)*1.03^M$2)</f>
        <v>0</v>
      </c>
      <c r="AK61" s="291" cm="1">
        <f t="array" ref="AK61">_xlfn.IFS($D$61="Full year", ((($E$61*8.77/760*N61*38)*$B$61)*1.03^N$2),
$D$61="Fall", ((($E$61*8.77/760*N61*19)*$B$61)*1.03^N$2),
$D$61="Spring",(($E$61*8.77/760*N61*19)*$B$61)*1.03^N$2)</f>
        <v>0</v>
      </c>
      <c r="AL61" s="291" cm="1">
        <f t="array" ref="AL61">_xlfn.IFS($D$61="Full year", ((($E$61*8.77/760*O61*38)*$B$61)*1.03^O$2),
$D$61="Fall", ((($E$61*8.77/760*O61*19)*$B$61)*1.03^O$2),
$D$61="Spring",(($E$61*8.77/760*O61*19)*$B$61)*1.03^O$2)</f>
        <v>0</v>
      </c>
      <c r="AM61" s="291" cm="1">
        <f t="array" ref="AM61">_xlfn.IFS($D$61="Full year", ((($E$61*8.77/760*P61*38)*$B$61)*1.03^P$2),
$D$61="Fall", ((($E$61*8.77/760*P61*19)*$B$61)*1.03^P$2),
$D$61="Spring",(($E$61*8.77/760*P61*19)*$B$61)*1.03^P$2)</f>
        <v>0</v>
      </c>
      <c r="AN61" s="316">
        <f t="shared" si="72"/>
        <v>0</v>
      </c>
      <c r="AO61" s="518">
        <f t="shared" si="66"/>
        <v>0</v>
      </c>
      <c r="AP61" s="576" cm="1">
        <f t="array" ref="AP61">_xlfn.IFS($BP$61="Full year", ((($BQ$61*8.77/760*BB61*38)*$BN$61)*1.03^G$2),
$BP$61="Fall", ((($BQ$61*8.77/760*BB61*19)*$BN$61)*1.03^G$2),
$BP$61="Spring",(($BQ$61*8.77/760*BB61*19)*AHL$61)*1.03^G$2)</f>
        <v>0</v>
      </c>
      <c r="AQ61" s="577" cm="1">
        <f t="array" ref="AQ61">_xlfn.IFS($BP$61="Full year", ((($BQ$61*8.77/760*BC61*38)*$BN$61)*1.03^H$2),
 $BP$61="Fall", ((($BQ$61*8.77/760*BC61*19)*$BN$61)*1.03^H$2),
$BP$61="Spring",(($BQ$61*8.77/760*BC61*19)*BN$61)*1.03^H$2)</f>
        <v>0</v>
      </c>
      <c r="AR61" s="577" cm="1">
        <f t="array" ref="AR61">_xlfn.IFS($BP$61="Full year", ((($BQ$61*8.77/760*BD61*38)*$BN$61)*1.03^I$2),
 $BP$61="Fall", ((($BQ$61*8.77/760*BD61*19)*$BN$61)*1.03^I$2),
$BP$61="Spring",(($BQ$61*8.77/760*BD61*19)*$BN$61)*1.03^I$2)</f>
        <v>0</v>
      </c>
      <c r="AS61" s="577" cm="1">
        <f t="array" ref="AS61">_xlfn.IFS($BP$61="Full year", ((($BQ$61*8.77/760*BE61*38)*$BN$61)*1.03^J$2),
 $BP$61="Fall", ((($BQ$61*8.77/760*BE61*19)*$BN$61)*1.03^J$2),
$BP$61="Spring",(($BQ$61*8.77/760*BE61*19)*$BN$61)*1.03^J$2)</f>
        <v>0</v>
      </c>
      <c r="AT61" s="577" cm="1">
        <f t="array" ref="AT61">_xlfn.IFS($BP$61="Full year", ((($BQ$61*8.77/760*BF61*38)*$BN$61)*1.03^K$2),
 $BP$61="Fall", ((($BQ$61*8.77/760*BF61*19)*$BN$61)*1.03^K$2),
$BP$61="Spring",(($BQ$61*8.77/760*BF61*19)*$BN$61)*1.03^K$2)</f>
        <v>0</v>
      </c>
      <c r="AU61" s="577" cm="1">
        <f t="array" ref="AU61">_xlfn.IFS($BP$61="Full year", ((($BQ$61*8.77/760*BG61*38)*$BN$61)*1.03^L$2),
 $BP$61="Fall", ((($BQ$61*8.77/760*BG61*19)*$BN$61)*1.03^L$2),
$BP$61="Spring",(($BQ$61*8.77/760*BG61*19)*$BN$61)*1.03^L$2)</f>
        <v>0</v>
      </c>
      <c r="AV61" s="577" cm="1">
        <f t="array" ref="AV61">_xlfn.IFS($BP$61="Full year", ((($BQ$61*8.77/760*BH61*38)*$BN$61)*1.03^M$2),
 $BP$61="Fall", ((($BQ$61*8.77/760*BH61*19)*$BN$61)*1.03^M$2),
$BP$61="Spring",(($BQ$61*8.77/760*BH61*19)*$BN$61)*1.03^M$2)</f>
        <v>0</v>
      </c>
      <c r="AW61" s="577" cm="1">
        <f t="array" ref="AW61">_xlfn.IFS($BP$61="Full year", ((($BQ$61*8.77/760*BI61*38)*$BN$61)*1.03^N$2),
 $BP$61="Fall", ((($BQ$61*8.77/760*BI61*19)*$BN$61)*1.03^N$2),
$BP$61="Spring",(($BQ$61*8.77/760*BI61*19)*$BN$61)*1.03^N$2)</f>
        <v>0</v>
      </c>
      <c r="AX61" s="577" cm="1">
        <f t="array" ref="AX61">_xlfn.IFS($BP$61="Full year", ((($BQ$61*8.77/760*BJ61*38)*$BN$61)*1.03^O$2),
 $BP$61="Fall", ((($BQ$61*8.77/760*BJ61*19)*$BN$61)*1.03^O$2),
$BP$61="Spring",(($BQ$61*8.77/760*BJ61*19)*$BN$61)*1.03^O$2)</f>
        <v>0</v>
      </c>
      <c r="AY61" s="577" cm="1">
        <f t="array" ref="AY61">_xlfn.IFS($BP$61="Full year", ((($BQ$61*8.77/760*BK61*38)*$BN$61)*1.03^P$2),
 $BP$61="Fall", ((($BQ$61*8.77/760*BK61*19)*$BN$61)*1.03^P$2),
$BP$61="Spring",(($BQ$61*8.77/760*BK61*19)*$BN$61)*1.03^P$2)</f>
        <v>0</v>
      </c>
      <c r="AZ61" s="578">
        <f t="shared" si="67"/>
        <v>0</v>
      </c>
      <c r="BA61" s="138"/>
      <c r="BB61" s="285"/>
      <c r="BC61" s="285"/>
      <c r="BD61" s="285"/>
      <c r="BE61" s="285"/>
      <c r="BF61" s="285"/>
      <c r="BG61" s="285"/>
      <c r="BH61" s="285"/>
      <c r="BI61" s="285"/>
      <c r="BJ61" s="285"/>
      <c r="BK61" s="285"/>
      <c r="BN61" s="285"/>
      <c r="BO61" s="604" t="s">
        <v>211</v>
      </c>
      <c r="BP61" s="202" t="s">
        <v>206</v>
      </c>
      <c r="BQ61" s="287"/>
      <c r="BT61" s="192" cm="1">
        <f t="array" ref="BT61">_xlfn.IFS($BP$61="Full Year",ROUND((((BB61*(52/12)*8.77)/1520)*8.77)*2,2),
$BP$61="Fall",ROUND((((BB61*(((52/12)*8.77)/1520)*8.77))/2)*2,2),
$BP$61="Spring",(ROUND((((BB61*(((52/12)*8.77)/1520)*8.77))/2)*2,2)))</f>
        <v>0</v>
      </c>
      <c r="BU61" s="134" cm="1">
        <f t="array" ref="BU61">_xlfn.IFS($BP$61="Full Year",ROUND((((BC61*(52/12)*8.77)/1520)*8.77)*2,2),
$BP$61="Fall",ROUND((((BC61*(((52/12)*8.77)/1520)*8.77))/2)*2,2),
$BP$61="Spring",(ROUND((((BC61*(((52/12)*8.77)/1520)*8.77))/2)*2,2)))</f>
        <v>0</v>
      </c>
      <c r="BV61" s="134" cm="1">
        <f t="array" ref="BV61">_xlfn.IFS($BP$61="Full Year",ROUND((((BD61*(52/12)*8.77)/1520)*8.77)*2,2),
$BP$61="Fall",ROUND((((BD61*(((52/12)*8.77)/1520)*8.77))/2)*2,2),
$BP$61="Spring",(ROUND((((BD61*(((52/12)*8.77)/1520)*8.77))/2)*2,2)))</f>
        <v>0</v>
      </c>
      <c r="BW61" s="134" cm="1">
        <f t="array" ref="BW61">_xlfn.IFS($BP$61="Full Year",ROUND((((BE61*(52/12)*8.77)/1520)*8.77)*2,2),
$BP$61="Fall",ROUND((((BE61*(((52/12)*8.77)/1520)*8.77))/2)*2,2),
$BP$61="Spring",(ROUND((((BE61*(((52/12)*8.77)/1520)*8.77))/2)*2,2)))</f>
        <v>0</v>
      </c>
      <c r="BX61" s="134" cm="1">
        <f t="array" ref="BX61">_xlfn.IFS($BP$61="Full Year",ROUND((((BF61*(52/12)*8.77)/1520)*8.77)*2,2),
$BP$61="Fall",ROUND((((BF61*(((52/12)*8.77)/1520)*8.77))/2)*2,2),
$BP$61="Spring",(ROUND((((BF61*(((52/12)*8.77)/1520)*8.77))/2)*2,2)))</f>
        <v>0</v>
      </c>
      <c r="BY61" s="134" cm="1">
        <f t="array" ref="BY61">_xlfn.IFS($BP$61="Full Year",ROUND((((BG61*(52/12)*8.77)/1520)*8.77)*2,2),
$BP$61="Fall",ROUND((((BG61*(((52/12)*8.77)/1520)*8.77))/2)*2,2),
$BP$61="Spring",(ROUND((((BG61*(((52/12)*8.77)/1520)*8.77))/2)*2,2)))</f>
        <v>0</v>
      </c>
      <c r="BZ61" s="134" cm="1">
        <f t="array" ref="BZ61">_xlfn.IFS($BP$61="Full Year",ROUND((((BH61*(52/12)*8.77)/1520)*8.77)*2,2),
$BP$61="Fall",ROUND((((BH61*(((52/12)*8.77)/1520)*8.77))/2)*2,2),
$BP$61="Spring",(ROUND((((BH61*(((52/12)*8.77)/1520)*8.77))/2)*2,2)))</f>
        <v>0</v>
      </c>
      <c r="CA61" s="134" cm="1">
        <f t="array" ref="CA61">_xlfn.IFS($BP$61="Full Year",ROUND((((BI61*(52/12)*8.77)/1520)*8.77)*2,2),
$BP$61="Fall",ROUND((((BI61*(((52/12)*8.77)/1520)*8.77))/2)*2,2),
$BP$61="Spring",(ROUND((((BI61*(((52/12)*8.77)/1520)*8.77))/2)*2,2)))</f>
        <v>0</v>
      </c>
      <c r="CB61" s="134" cm="1">
        <f t="array" ref="CB61">_xlfn.IFS($BP$61="Full Year",ROUND((((BJ61*(52/12)*8.77)/1520)*8.77)*2,2),
$BP$61="Fall",ROUND((((BJ61*(((52/12)*8.77)/1520)*8.77))/2)*2,2),
$BP$61="Spring",(ROUND((((BJ61*(((52/12)*8.77)/1520)*8.77))/2)*2,2)))</f>
        <v>0</v>
      </c>
      <c r="CC61" s="566" cm="1">
        <f t="array" ref="CC61">_xlfn.IFS($BP$61="Full Year",ROUND((((BK61*(52/12)*8.77)/1520)*8.77)*2,2),
$BP$61="Fall",ROUND((((BK61*(((52/12)*8.77)/1520)*8.77))/2)*2,2),
$BP$61="Spring",(ROUND((((BK61*(((52/12)*8.77)/1520)*8.77))/2)*2,2)))</f>
        <v>0</v>
      </c>
      <c r="CD61" s="149"/>
    </row>
    <row r="62" spans="2:83" ht="25.5" customHeight="1" outlineLevel="1" thickBot="1" x14ac:dyDescent="0.3">
      <c r="B62" s="286"/>
      <c r="C62" s="552"/>
      <c r="D62" s="30" t="s">
        <v>208</v>
      </c>
      <c r="E62" s="288"/>
      <c r="F62" s="136"/>
      <c r="G62" s="290"/>
      <c r="H62" s="290"/>
      <c r="I62" s="290"/>
      <c r="J62" s="290"/>
      <c r="K62" s="290"/>
      <c r="L62" s="290"/>
      <c r="M62" s="290"/>
      <c r="N62" s="290"/>
      <c r="O62" s="290"/>
      <c r="P62" s="290"/>
      <c r="Q62" s="204"/>
      <c r="R62" s="692"/>
      <c r="S62" s="134">
        <f>ROUND(((G62*(52/12)*3.23)/560)*3.23,2)</f>
        <v>0</v>
      </c>
      <c r="T62" s="134">
        <f>ROUND(((H62*(52/12)*3.23)/560)*3.23,2)</f>
        <v>0</v>
      </c>
      <c r="U62" s="134">
        <f>ROUND(((I62*(52/12)*3.23)/560)*3.23,2)</f>
        <v>0</v>
      </c>
      <c r="V62" s="134">
        <f>ROUND(((J62*(52/12)*3.23)/560)*3.23,2)</f>
        <v>0</v>
      </c>
      <c r="W62" s="134">
        <f>ROUND(((K62*(52/12)*3.23)/560)*3.23,2)</f>
        <v>0</v>
      </c>
      <c r="X62" s="134">
        <f t="shared" ref="X62:AB62" si="77">ROUND(((L62*(52/12)*3.23)/560)*3.23,2)</f>
        <v>0</v>
      </c>
      <c r="Y62" s="134">
        <f t="shared" si="77"/>
        <v>0</v>
      </c>
      <c r="Z62" s="134">
        <f t="shared" si="77"/>
        <v>0</v>
      </c>
      <c r="AA62" s="134">
        <f t="shared" si="77"/>
        <v>0</v>
      </c>
      <c r="AB62" s="134">
        <f t="shared" si="77"/>
        <v>0</v>
      </c>
      <c r="AC62"/>
      <c r="AD62" s="292">
        <f>(($E$62*3.23/560*G62*14)*$B$62)*1.03^G$2</f>
        <v>0</v>
      </c>
      <c r="AE62" s="292">
        <f>(($E$62*3.23/560*H62*14)*$B$62)*1.03^H$2</f>
        <v>0</v>
      </c>
      <c r="AF62" s="292">
        <f>(($E$62*3.23/560*I62*14)*$B$62)*1.03^I$2</f>
        <v>0</v>
      </c>
      <c r="AG62" s="292">
        <f>(($E$62*3.23/560*J62*14)*$B$62)*1.03^J$2</f>
        <v>0</v>
      </c>
      <c r="AH62" s="292">
        <f>(($E$62*3.23/560*K62*14)*$B$62)*1.03^K$2</f>
        <v>0</v>
      </c>
      <c r="AI62" s="292">
        <f t="shared" ref="AI62:AM62" si="78">(($E$62*3.23/560*L62*14)*$B$62)*1.03^L$2</f>
        <v>0</v>
      </c>
      <c r="AJ62" s="292">
        <f t="shared" si="78"/>
        <v>0</v>
      </c>
      <c r="AK62" s="292">
        <f t="shared" si="78"/>
        <v>0</v>
      </c>
      <c r="AL62" s="292">
        <f t="shared" si="78"/>
        <v>0</v>
      </c>
      <c r="AM62" s="292">
        <f t="shared" si="78"/>
        <v>0</v>
      </c>
      <c r="AN62" s="314">
        <f t="shared" si="72"/>
        <v>0</v>
      </c>
      <c r="AO62" s="518">
        <f t="shared" si="66"/>
        <v>0</v>
      </c>
      <c r="AP62" s="573">
        <f t="shared" ref="AP62:AY62" si="79">(($BQ$62*8.77/760*BB62*14)*$BN$62)*1.03^G$2</f>
        <v>0</v>
      </c>
      <c r="AQ62" s="574">
        <f t="shared" si="79"/>
        <v>0</v>
      </c>
      <c r="AR62" s="574">
        <f t="shared" si="79"/>
        <v>0</v>
      </c>
      <c r="AS62" s="574">
        <f t="shared" si="79"/>
        <v>0</v>
      </c>
      <c r="AT62" s="574">
        <f t="shared" si="79"/>
        <v>0</v>
      </c>
      <c r="AU62" s="574">
        <f t="shared" si="79"/>
        <v>0</v>
      </c>
      <c r="AV62" s="574">
        <f t="shared" si="79"/>
        <v>0</v>
      </c>
      <c r="AW62" s="574">
        <f t="shared" si="79"/>
        <v>0</v>
      </c>
      <c r="AX62" s="574">
        <f t="shared" si="79"/>
        <v>0</v>
      </c>
      <c r="AY62" s="574">
        <f t="shared" si="79"/>
        <v>0</v>
      </c>
      <c r="AZ62" s="575">
        <f t="shared" si="67"/>
        <v>0</v>
      </c>
      <c r="BA62" s="138"/>
      <c r="BB62" s="286"/>
      <c r="BC62" s="286"/>
      <c r="BD62" s="286"/>
      <c r="BE62" s="286"/>
      <c r="BF62" s="286"/>
      <c r="BG62" s="286"/>
      <c r="BH62" s="286"/>
      <c r="BI62" s="286"/>
      <c r="BJ62" s="286"/>
      <c r="BK62" s="286"/>
      <c r="BN62" s="286"/>
      <c r="BO62" s="604"/>
      <c r="BP62" s="30" t="s">
        <v>208</v>
      </c>
      <c r="BQ62" s="288"/>
      <c r="BT62" s="192">
        <f>ROUND(((BB62*(52/12)*3.23)/560)*3.23,2)</f>
        <v>0</v>
      </c>
      <c r="BU62" s="134">
        <f>ROUND(((BC62*(52/12)*3.23)/560)*3.23,2)</f>
        <v>0</v>
      </c>
      <c r="BV62" s="134">
        <f>ROUND(((BD62*(52/12)*3.23)/560)*3.23,2)</f>
        <v>0</v>
      </c>
      <c r="BW62" s="134">
        <f>ROUND(((BE62*(52/12)*3.23)/560)*3.23,2)</f>
        <v>0</v>
      </c>
      <c r="BX62" s="134">
        <f t="shared" ref="BX62:CC62" si="80">ROUND(((BF62*(52/12)*3.23)/560)*3.23,2)</f>
        <v>0</v>
      </c>
      <c r="BY62" s="134">
        <f t="shared" si="80"/>
        <v>0</v>
      </c>
      <c r="BZ62" s="134">
        <f t="shared" si="80"/>
        <v>0</v>
      </c>
      <c r="CA62" s="134">
        <f t="shared" si="80"/>
        <v>0</v>
      </c>
      <c r="CB62" s="134">
        <f t="shared" si="80"/>
        <v>0</v>
      </c>
      <c r="CC62" s="566">
        <f t="shared" si="80"/>
        <v>0</v>
      </c>
      <c r="CD62" s="149"/>
    </row>
    <row r="63" spans="2:83" ht="25.5" customHeight="1" outlineLevel="1" x14ac:dyDescent="0.25">
      <c r="B63" s="289"/>
      <c r="C63" s="554" t="s">
        <v>212</v>
      </c>
      <c r="D63" s="203" t="s">
        <v>206</v>
      </c>
      <c r="E63" s="287"/>
      <c r="F63" s="137"/>
      <c r="G63" s="289"/>
      <c r="H63" s="289"/>
      <c r="I63" s="289"/>
      <c r="J63" s="289"/>
      <c r="K63" s="289"/>
      <c r="L63" s="289"/>
      <c r="M63" s="289"/>
      <c r="N63" s="289"/>
      <c r="O63" s="289"/>
      <c r="P63" s="289"/>
      <c r="Q63" s="204"/>
      <c r="R63" s="692"/>
      <c r="S63" s="135" cm="1">
        <f t="array" ref="S63">_xlfn.IFS($D$63="Full Year", ROUND((((G63*(52/12)*8.77)/1520)*8.77)*2,2),
$D$63="Fall",ROUND((((G63*(((52/12)*8.77)/1520)*8.77))/2)*2,2),
$D$63="Spring",(ROUND((((G63*(((52/12)*8.77)/1520)*8.77))/2)*2,2)))</f>
        <v>0</v>
      </c>
      <c r="T63" s="135" cm="1">
        <f t="array" ref="T63">_xlfn.IFS($D$63="Full Year", ROUND((((H63*(52/12)*8.77)/1520)*8.77)*2,2),
$D$63="Fall",ROUND((((H63*(((52/12)*8.77)/1520)*8.77))/2)*2,2),
$D$63="Spring",(ROUND((((H63*(((52/12)*8.77)/1520)*8.77))/2)*2,2)))</f>
        <v>0</v>
      </c>
      <c r="U63" s="135" cm="1">
        <f t="array" ref="U63">_xlfn.IFS($D$63="Full Year", ROUND((((I63*(52/12)*8.77)/1520)*8.77)*2,2),
$D$63="Fall",ROUND((((I63*(((52/12)*8.77)/1520)*8.77))/2)*2,2),
$D$63="Spring",(ROUND((((I63*(((52/12)*8.77)/1520)*8.77))/2)*2,2)))</f>
        <v>0</v>
      </c>
      <c r="V63" s="135" cm="1">
        <f t="array" ref="V63">_xlfn.IFS($D$63="Full Year", ROUND((((J63*(52/12)*8.77)/1520)*8.77)*2,2),
$D$63="Fall",ROUND((((J63*(((52/12)*8.77)/1520)*8.77))/2)*2,2),
$D$63="Spring",(ROUND((((J63*(((52/12)*8.77)/1520)*8.77))/2)*2,2)))</f>
        <v>0</v>
      </c>
      <c r="W63" s="135" cm="1">
        <f t="array" ref="W63">_xlfn.IFS($D$63="Full Year", ROUND((((K63*(52/12)*8.77)/1520)*8.77)*2,2),
$D$63="Fall",ROUND((((K63*(((52/12)*8.77)/1520)*8.77))/2)*2,2),
$D$63="Spring",(ROUND((((K63*(((52/12)*8.77)/1520)*8.77))/2)*2,2)))</f>
        <v>0</v>
      </c>
      <c r="X63" s="135" cm="1">
        <f t="array" ref="X63">_xlfn.IFS($D$63="Full Year", ROUND((((L63*(52/12)*8.77)/1520)*8.77)*2,2),
$D$63="Fall",ROUND((((L63*(((52/12)*8.77)/1520)*8.77))/2)*2,2),
$D$63="Spring",(ROUND((((L63*(((52/12)*8.77)/1520)*8.77))/2)*2,2)))</f>
        <v>0</v>
      </c>
      <c r="Y63" s="135" cm="1">
        <f t="array" ref="Y63">_xlfn.IFS($D$63="Full Year", ROUND((((M63*(52/12)*8.77)/1520)*8.77)*2,2),
$D$63="Fall",ROUND((((M63*(((52/12)*8.77)/1520)*8.77))/2)*2,2),
$D$63="Spring",(ROUND((((M63*(((52/12)*8.77)/1520)*8.77))/2)*2,2)))</f>
        <v>0</v>
      </c>
      <c r="Z63" s="135" cm="1">
        <f t="array" ref="Z63">_xlfn.IFS($D$63="Full Year", ROUND((((N63*(52/12)*8.77)/1520)*8.77)*2,2),
$D$63="Fall",ROUND((((N63*(((52/12)*8.77)/1520)*8.77))/2)*2,2),
$D$63="Spring",(ROUND((((N63*(((52/12)*8.77)/1520)*8.77))/2)*2,2)))</f>
        <v>0</v>
      </c>
      <c r="AA63" s="135" cm="1">
        <f t="array" ref="AA63">_xlfn.IFS($D$63="Full Year", ROUND((((O63*(52/12)*8.77)/1520)*8.77)*2,2),
$D$63="Fall",ROUND((((O63*(((52/12)*8.77)/1520)*8.77))/2)*2,2),
$D$63="Spring",(ROUND((((O63*(((52/12)*8.77)/1520)*8.77))/2)*2,2)))</f>
        <v>0</v>
      </c>
      <c r="AB63" s="135" cm="1">
        <f t="array" ref="AB63">_xlfn.IFS($D$63="Full Year", ROUND((((P63*(52/12)*8.77)/1520)*8.77)*2,2),
$D$63="Fall",ROUND((((P63*(((52/12)*8.77)/1520)*8.77))/2)*2,2),
$D$63="Spring",(ROUND((((P63*(((52/12)*8.77)/1520)*8.77))/2)*2,2)))</f>
        <v>0</v>
      </c>
      <c r="AC63"/>
      <c r="AD63" s="291" cm="1">
        <f t="array" ref="AD63">_xlfn.IFS($D$63="Full year", ((($E$63*8.77/760*G63*38)*$B$63)*1.03^G$2),
$D$63="Fall", ((($E$63*8.77/760*G63*19)*$B$63)*1.03^G$2),
$D$63="Spring",(($E$63*8.77/760*G63*19)*$B$63)*1.03^G$2)</f>
        <v>0</v>
      </c>
      <c r="AE63" s="291" cm="1">
        <f t="array" ref="AE63">_xlfn.IFS($D$63="Full year", ((($E$63*8.77/760*H63*38)*$B$63)*1.03^H$2),
$D$63="Fall", ((($E$63*8.77/760*H63*19)*$B$63)*1.03^H$2),
$D$63="Spring",(($E$63*8.77/760*H63*19)*$B$63)*1.03^H$2)</f>
        <v>0</v>
      </c>
      <c r="AF63" s="291" cm="1">
        <f t="array" ref="AF63">_xlfn.IFS($D$63="Full year", ((($E$63*8.77/760*I63*38)*$B$63)*1.03^I$2),
$D$63="Fall", ((($E$63*8.77/760*I63*19)*$B$63)*1.03^I$2),
$D$63="Spring",(($E$63*8.77/760*I63*19)*$B$63)*1.03^I$2)</f>
        <v>0</v>
      </c>
      <c r="AG63" s="291" cm="1">
        <f t="array" ref="AG63">_xlfn.IFS($D$63="Full year", ((($E$63*8.77/760*J63*38)*$B$63)*1.03^J$2),
$D$63="Fall", ((($E$63*8.77/760*J63*19)*$B$63)*1.03^J$2),
$D$63="Spring",(($E$63*8.77/760*J63*19)*$B$63)*1.03^J$2)</f>
        <v>0</v>
      </c>
      <c r="AH63" s="291" cm="1">
        <f t="array" ref="AH63">_xlfn.IFS($D$63="Full year", ((($E$63*8.77/760*K63*38)*$B$63)*1.03^K$2),
$D$63="Fall", ((($E$63*8.77/760*K63*19)*$B$63)*1.03^K$2),
$D$63="Spring",(($E$63*8.77/760*K63*19)*$B$63)*1.03^K$2)</f>
        <v>0</v>
      </c>
      <c r="AI63" s="291" cm="1">
        <f t="array" ref="AI63">_xlfn.IFS($D$63="Full year", ((($E$63*8.77/760*L63*38)*$B$63)*1.03^L$2),
$D$63="Fall", ((($E$63*8.77/760*L63*19)*$B$63)*1.03^L$2),
$D$63="Spring",(($E$63*8.77/760*L63*19)*$B$63)*1.03^L$2)</f>
        <v>0</v>
      </c>
      <c r="AJ63" s="291" cm="1">
        <f t="array" ref="AJ63">_xlfn.IFS($D$63="Full year", ((($E$63*8.77/760*M63*38)*$B$63)*1.03^M$2),
$D$63="Fall", ((($E$63*8.77/760*M63*19)*$B$63)*1.03^M$2),
$D$63="Spring",(($E$63*8.77/760*M63*19)*$B$63)*1.03^M$2)</f>
        <v>0</v>
      </c>
      <c r="AK63" s="291" cm="1">
        <f t="array" ref="AK63">_xlfn.IFS($D$63="Full year", ((($E$63*8.77/760*N63*38)*$B$63)*1.03^N$2),
$D$63="Fall", ((($E$63*8.77/760*N63*19)*$B$63)*1.03^N$2),
$D$63="Spring",(($E$63*8.77/760*N63*19)*$B$63)*1.03^N$2)</f>
        <v>0</v>
      </c>
      <c r="AL63" s="291" cm="1">
        <f t="array" ref="AL63">_xlfn.IFS($D$63="Full year", ((($E$63*8.77/760*O63*38)*$B$63)*1.03^O$2),
$D$63="Fall", ((($E$63*8.77/760*O63*19)*$B$63)*1.03^O$2),
$D$63="Spring",(($E$63*8.77/760*O63*19)*$B$63)*1.03^O$2)</f>
        <v>0</v>
      </c>
      <c r="AM63" s="291" cm="1">
        <f t="array" ref="AM63">_xlfn.IFS($D$63="Full year", ((($E$63*8.77/760*P63*38)*$B$63)*1.03^P$2),
$D$63="Fall", ((($E$63*8.77/760*P63*19)*$B$63)*1.03^P$2),
$D$63="Spring",(($E$63*8.77/760*P63*19)*$B$63)*1.03^P$2)</f>
        <v>0</v>
      </c>
      <c r="AN63" s="313">
        <f t="shared" si="72"/>
        <v>0</v>
      </c>
      <c r="AO63" s="518">
        <f t="shared" si="66"/>
        <v>0</v>
      </c>
      <c r="AP63" s="576" cm="1">
        <f t="array" ref="AP63">_xlfn.IFS($BP$63="Full year", ((($BQ$63*8.77/760*BB63*38)*$BN$63)*1.03^G$2),
$BP$63="Fall", ((($BQ$63*8.77/760*BB63*19)*$BN$63)*1.03^G$2),
$BP$63="Spring",(($BQ$63*8.77/760*BB63*19)*AHL$63)*1.03^G$2)</f>
        <v>0</v>
      </c>
      <c r="AQ63" s="577" cm="1">
        <f t="array" ref="AQ63">_xlfn.IFS($BP$63="Full year", ((($BQ$63*8.77/760*BC63*38)*$BN$63)*1.03^H$2),
 $BP$63="Fall", ((($BQ$63*8.77/760*BC63*19)*$BN$63)*1.03^H$2),
$BP$63="Spring",(($BQ$63*8.77/760*BC63*19)*BN$63)*1.03^H$2)</f>
        <v>0</v>
      </c>
      <c r="AR63" s="577" cm="1">
        <f t="array" ref="AR63">_xlfn.IFS($BP$63="Full year", ((($BQ$63*8.77/760*BD63*38)*$BN$63)*1.03^I$2),
 $BP$63="Fall", ((($BQ$63*8.77/760*BD63*19)*$BN$63)*1.03^I$2),
$BP$63="Spring",(($BQ$63*8.77/760*BD63*19)*$BN$63)*1.03^I$2)</f>
        <v>0</v>
      </c>
      <c r="AS63" s="577" cm="1">
        <f t="array" ref="AS63">_xlfn.IFS($BP$63="Full year", ((($BQ$63*8.77/760*BE63*38)*$BN$63)*1.03^J$2),
 $BP$63="Fall", ((($BQ$63*8.77/760*BE63*19)*$BN$63)*1.03^J$2),
$BP$63="Spring",(($BQ$63*8.77/760*BE63*19)*$BN$63)*1.03^J$2)</f>
        <v>0</v>
      </c>
      <c r="AT63" s="577" cm="1">
        <f t="array" ref="AT63">_xlfn.IFS($BP$63="Full year", ((($BQ$63*8.77/760*BF63*38)*$BN$63)*1.03^K$2),
 $BP$63="Fall", ((($BQ$63*8.77/760*BF63*19)*$BN$63)*1.03^K$2),
$BP$63="Spring",(($BQ$63*8.77/760*BF63*19)*$BN$63)*1.03^K$2)</f>
        <v>0</v>
      </c>
      <c r="AU63" s="577" cm="1">
        <f t="array" ref="AU63">_xlfn.IFS($BP$63="Full year", ((($BQ$63*8.77/760*BG63*38)*$BN$63)*1.03^L$2),
 $BP$63="Fall", ((($BQ$63*8.77/760*BG63*19)*$BN$63)*1.03^L$2),
$BP$63="Spring",(($BQ$63*8.77/760*BG63*19)*$BN$63)*1.03^L$2)</f>
        <v>0</v>
      </c>
      <c r="AV63" s="577" cm="1">
        <f t="array" ref="AV63">_xlfn.IFS($BP$63="Full year", ((($BQ$63*8.77/760*BH63*38)*$BN$63)*1.03^M$2),
 $BP$63="Fall", ((($BQ$63*8.77/760*BH63*19)*$BN$63)*1.03^M$2),
$BP$63="Spring",(($BQ$63*8.77/760*BH63*19)*$BN$63)*1.03^M$2)</f>
        <v>0</v>
      </c>
      <c r="AW63" s="577" cm="1">
        <f t="array" ref="AW63">_xlfn.IFS($BP$63="Full year", ((($BQ$63*8.77/760*BI63*38)*$BN$63)*1.03^N$2),
 $BP$63="Fall", ((($BQ$63*8.77/760*BI63*19)*$BN$63)*1.03^N$2),
$BP$63="Spring",(($BQ$63*8.77/760*BI63*19)*$BN$63)*1.03^N$2)</f>
        <v>0</v>
      </c>
      <c r="AX63" s="577" cm="1">
        <f t="array" ref="AX63">_xlfn.IFS($BP$63="Full year", ((($BQ$63*8.77/760*BJ63*38)*$BN$63)*1.03^O$2),
 $BP$63="Fall", ((($BQ$63*8.77/760*BJ63*19)*$BN$63)*1.03^O$2),
$BP$63="Spring",(($BQ$63*8.77/760*BJ63*19)*$BN$63)*1.03^O$2)</f>
        <v>0</v>
      </c>
      <c r="AY63" s="577" cm="1">
        <f t="array" ref="AY63">_xlfn.IFS($BP$63="Full year", ((($BQ$63*8.77/760*BK63*38)*$BN$63)*1.03^P$2),
 $BP$63="Fall", ((($BQ$63*8.77/760*BK63*19)*$BN$63)*1.03^P$2),
$BP$63="Spring",(($BQ$63*8.77/760*BK63*19)*$BN$63)*1.03^P$2)</f>
        <v>0</v>
      </c>
      <c r="AZ63" s="578">
        <f t="shared" si="67"/>
        <v>0</v>
      </c>
      <c r="BA63" s="138"/>
      <c r="BB63" s="285"/>
      <c r="BC63" s="285"/>
      <c r="BD63" s="285"/>
      <c r="BE63" s="285"/>
      <c r="BF63" s="285"/>
      <c r="BG63" s="285"/>
      <c r="BH63" s="285"/>
      <c r="BI63" s="285"/>
      <c r="BJ63" s="285"/>
      <c r="BK63" s="285"/>
      <c r="BN63" s="289"/>
      <c r="BO63" s="606" t="s">
        <v>212</v>
      </c>
      <c r="BP63" s="203" t="s">
        <v>206</v>
      </c>
      <c r="BQ63" s="287"/>
      <c r="BT63" s="193" cm="1">
        <f t="array" ref="BT63">_xlfn.IFS($BP$63="Full Year",ROUND((((BB63*(52/12)*8.77)/1520)*8.77)*2,2),
$BP$63="Fall",ROUND((((BB63*(((52/12)*8.77)/1520)*8.77))/2)*2,2),
$BP$63="Spring",(ROUND((((BB63*(((52/12)*8.77)/1520)*8.77))/2)*2,2)))</f>
        <v>0</v>
      </c>
      <c r="BU63" s="135" cm="1">
        <f t="array" ref="BU63">_xlfn.IFS($BP$63="Full Year",ROUND((((BC63*(52/12)*8.77)/1520)*8.77)*2,2),
$BP$63="Fall",ROUND((((BC63*(((52/12)*8.77)/1520)*8.77))/2)*2,2),
$BP$63="Spring",(ROUND((((BC63*(((52/12)*8.77)/1520)*8.77))/2)*2,2)))</f>
        <v>0</v>
      </c>
      <c r="BV63" s="135" cm="1">
        <f t="array" ref="BV63">_xlfn.IFS($BP$63="Full Year",ROUND((((BD63*(52/12)*8.77)/1520)*8.77)*2,2),
$BP$63="Fall",ROUND((((BD63*(((52/12)*8.77)/1520)*8.77))/2)*2,2),
$BP$63="Spring",(ROUND((((BD63*(((52/12)*8.77)/1520)*8.77))/2)*2,2)))</f>
        <v>0</v>
      </c>
      <c r="BW63" s="135" cm="1">
        <f t="array" ref="BW63">_xlfn.IFS($BP$63="Full Year",ROUND((((BE63*(52/12)*8.77)/1520)*8.77)*2,2),
$BP$63="Fall",ROUND((((BE63*(((52/12)*8.77)/1520)*8.77))/2)*2,2),
$BP$63="Spring",(ROUND((((BE63*(((52/12)*8.77)/1520)*8.77))/2)*2,2)))</f>
        <v>0</v>
      </c>
      <c r="BX63" s="135" cm="1">
        <f t="array" ref="BX63">_xlfn.IFS($BP$63="Full Year",ROUND((((BF63*(52/12)*8.77)/1520)*8.77)*2,2),
$BP$63="Fall",ROUND((((BF63*(((52/12)*8.77)/1520)*8.77))/2)*2,2),
$BP$63="Spring",(ROUND((((BF63*(((52/12)*8.77)/1520)*8.77))/2)*2,2)))</f>
        <v>0</v>
      </c>
      <c r="BY63" s="135" cm="1">
        <f t="array" ref="BY63">_xlfn.IFS($BP$63="Full Year",ROUND((((BG63*(52/12)*8.77)/1520)*8.77)*2,2),
$BP$63="Fall",ROUND((((BG63*(((52/12)*8.77)/1520)*8.77))/2)*2,2),
$BP$63="Spring",(ROUND((((BG63*(((52/12)*8.77)/1520)*8.77))/2)*2,2)))</f>
        <v>0</v>
      </c>
      <c r="BZ63" s="135" cm="1">
        <f t="array" ref="BZ63">_xlfn.IFS($BP$63="Full Year",ROUND((((BH63*(52/12)*8.77)/1520)*8.77)*2,2),
$BP$63="Fall",ROUND((((BH63*(((52/12)*8.77)/1520)*8.77))/2)*2,2),
$BP$63="Spring",(ROUND((((BH63*(((52/12)*8.77)/1520)*8.77))/2)*2,2)))</f>
        <v>0</v>
      </c>
      <c r="CA63" s="135" cm="1">
        <f t="array" ref="CA63">_xlfn.IFS($BP$63="Full Year",ROUND((((BI63*(52/12)*8.77)/1520)*8.77)*2,2),
$BP$63="Fall",ROUND((((BI63*(((52/12)*8.77)/1520)*8.77))/2)*2,2),
$BP$63="Spring",(ROUND((((BI63*(((52/12)*8.77)/1520)*8.77))/2)*2,2)))</f>
        <v>0</v>
      </c>
      <c r="CB63" s="135" cm="1">
        <f t="array" ref="CB63">_xlfn.IFS($BP$63="Full Year",ROUND((((BJ63*(52/12)*8.77)/1520)*8.77)*2,2),
$BP$63="Fall",ROUND((((BJ63*(((52/12)*8.77)/1520)*8.77))/2)*2,2),
$BP$63="Spring",(ROUND((((BJ63*(((52/12)*8.77)/1520)*8.77))/2)*2,2)))</f>
        <v>0</v>
      </c>
      <c r="CC63" s="567" cm="1">
        <f t="array" ref="CC63">_xlfn.IFS($BP$63="Full Year",ROUND((((BK63*(52/12)*8.77)/1520)*8.77)*2,2),
$BP$63="Fall",ROUND((((BK63*(((52/12)*8.77)/1520)*8.77))/2)*2,2),
$BP$63="Spring",(ROUND((((BK63*(((52/12)*8.77)/1520)*8.77))/2)*2,2)))</f>
        <v>0</v>
      </c>
      <c r="CD63" s="149"/>
    </row>
    <row r="64" spans="2:83" ht="25.5" customHeight="1" outlineLevel="1" thickBot="1" x14ac:dyDescent="0.3">
      <c r="B64" s="286"/>
      <c r="C64" s="555"/>
      <c r="D64" s="30" t="s">
        <v>208</v>
      </c>
      <c r="E64" s="288"/>
      <c r="F64" s="136"/>
      <c r="G64" s="290"/>
      <c r="H64" s="290"/>
      <c r="I64" s="290"/>
      <c r="J64" s="290"/>
      <c r="K64" s="290"/>
      <c r="L64" s="290"/>
      <c r="M64" s="290"/>
      <c r="N64" s="290"/>
      <c r="O64" s="290"/>
      <c r="P64" s="290"/>
      <c r="Q64" s="204"/>
      <c r="R64" s="692"/>
      <c r="S64" s="134">
        <f>ROUND(((G64*(52/12)*3.23)/560)*3.23,2)</f>
        <v>0</v>
      </c>
      <c r="T64" s="134">
        <f>ROUND(((H64*(52/12)*3.23)/560)*3.23,2)</f>
        <v>0</v>
      </c>
      <c r="U64" s="134">
        <f>ROUND(((I64*(52/12)*3.23)/560)*3.23,2)</f>
        <v>0</v>
      </c>
      <c r="V64" s="134">
        <f>ROUND(((J64*(52/12)*3.23)/560)*3.23,2)</f>
        <v>0</v>
      </c>
      <c r="W64" s="134">
        <f>ROUND(((K64*(52/12)*3.23)/560)*3.23,2)</f>
        <v>0</v>
      </c>
      <c r="X64" s="134">
        <f t="shared" ref="X64:AB64" si="81">ROUND(((L64*(52/12)*3.23)/560)*3.23,2)</f>
        <v>0</v>
      </c>
      <c r="Y64" s="134">
        <f t="shared" si="81"/>
        <v>0</v>
      </c>
      <c r="Z64" s="134">
        <f t="shared" si="81"/>
        <v>0</v>
      </c>
      <c r="AA64" s="134">
        <f t="shared" si="81"/>
        <v>0</v>
      </c>
      <c r="AB64" s="134">
        <f t="shared" si="81"/>
        <v>0</v>
      </c>
      <c r="AC64"/>
      <c r="AD64" s="292">
        <f>(($E$64*3.23/560*G64*14)*$B$64)*1.03^G$2</f>
        <v>0</v>
      </c>
      <c r="AE64" s="292">
        <f>(($E$64*3.23/560*H64*14)*$B$64)*1.03^H$2</f>
        <v>0</v>
      </c>
      <c r="AF64" s="292">
        <f t="shared" ref="AF64" si="82">(($E$64*3.23/560*I64*14)*$B$64)*1.03^I$2</f>
        <v>0</v>
      </c>
      <c r="AG64" s="292">
        <f>(($E$64*3.23/560*J64*14)*$B$64)*1.03^J$2</f>
        <v>0</v>
      </c>
      <c r="AH64" s="292">
        <f>(($E$64*3.23/560*K64*14)*$B$64)*1.03^K$2</f>
        <v>0</v>
      </c>
      <c r="AI64" s="292">
        <f t="shared" ref="AI64:AM64" si="83">(($E$64*3.23/560*L64*14)*$B$64)*1.03^L$2</f>
        <v>0</v>
      </c>
      <c r="AJ64" s="292">
        <f t="shared" si="83"/>
        <v>0</v>
      </c>
      <c r="AK64" s="292">
        <f t="shared" si="83"/>
        <v>0</v>
      </c>
      <c r="AL64" s="292">
        <f t="shared" si="83"/>
        <v>0</v>
      </c>
      <c r="AM64" s="292">
        <f t="shared" si="83"/>
        <v>0</v>
      </c>
      <c r="AN64" s="315">
        <f t="shared" si="72"/>
        <v>0</v>
      </c>
      <c r="AO64" s="518">
        <f t="shared" si="66"/>
        <v>0</v>
      </c>
      <c r="AP64" s="573">
        <f t="shared" ref="AP64:AY64" si="84">(($BQ$64*8.77/760*BB64*14)*$BN$64)*1.03^G$2</f>
        <v>0</v>
      </c>
      <c r="AQ64" s="574">
        <f t="shared" si="84"/>
        <v>0</v>
      </c>
      <c r="AR64" s="574">
        <f t="shared" si="84"/>
        <v>0</v>
      </c>
      <c r="AS64" s="574">
        <f t="shared" si="84"/>
        <v>0</v>
      </c>
      <c r="AT64" s="574">
        <f t="shared" si="84"/>
        <v>0</v>
      </c>
      <c r="AU64" s="574">
        <f t="shared" si="84"/>
        <v>0</v>
      </c>
      <c r="AV64" s="574">
        <f t="shared" si="84"/>
        <v>0</v>
      </c>
      <c r="AW64" s="574">
        <f t="shared" si="84"/>
        <v>0</v>
      </c>
      <c r="AX64" s="574">
        <f t="shared" si="84"/>
        <v>0</v>
      </c>
      <c r="AY64" s="574">
        <f t="shared" si="84"/>
        <v>0</v>
      </c>
      <c r="AZ64" s="575">
        <f t="shared" si="67"/>
        <v>0</v>
      </c>
      <c r="BA64" s="138"/>
      <c r="BB64" s="286"/>
      <c r="BC64" s="286"/>
      <c r="BD64" s="286"/>
      <c r="BE64" s="286"/>
      <c r="BF64" s="286"/>
      <c r="BG64" s="286"/>
      <c r="BH64" s="286"/>
      <c r="BI64" s="286"/>
      <c r="BJ64" s="286"/>
      <c r="BK64" s="286"/>
      <c r="BN64" s="286"/>
      <c r="BO64" s="607"/>
      <c r="BP64" s="30" t="s">
        <v>208</v>
      </c>
      <c r="BQ64" s="288"/>
      <c r="BT64" s="192">
        <f>ROUND(((BB64*(52/12)*3.23)/560)*3.23,2)</f>
        <v>0</v>
      </c>
      <c r="BU64" s="134">
        <f>ROUND(((BC64*(52/12)*3.23)/560)*3.23,2)</f>
        <v>0</v>
      </c>
      <c r="BV64" s="134">
        <f>ROUND(((BD64*(52/12)*3.23)/560)*3.23,2)</f>
        <v>0</v>
      </c>
      <c r="BW64" s="134">
        <f>ROUND(((BE64*(52/12)*3.23)/560)*3.23,2)</f>
        <v>0</v>
      </c>
      <c r="BX64" s="134">
        <f t="shared" ref="BX64:CC64" si="85">ROUND(((BF64*(52/12)*3.23)/560)*3.23,2)</f>
        <v>0</v>
      </c>
      <c r="BY64" s="134">
        <f t="shared" si="85"/>
        <v>0</v>
      </c>
      <c r="BZ64" s="134">
        <f t="shared" si="85"/>
        <v>0</v>
      </c>
      <c r="CA64" s="134">
        <f t="shared" si="85"/>
        <v>0</v>
      </c>
      <c r="CB64" s="134">
        <f t="shared" si="85"/>
        <v>0</v>
      </c>
      <c r="CC64" s="566">
        <f t="shared" si="85"/>
        <v>0</v>
      </c>
      <c r="CD64" s="149"/>
    </row>
    <row r="65" spans="2:82" ht="25.5" customHeight="1" outlineLevel="1" x14ac:dyDescent="0.25">
      <c r="B65" s="289"/>
      <c r="C65" s="556" t="s">
        <v>213</v>
      </c>
      <c r="D65" s="203" t="s">
        <v>206</v>
      </c>
      <c r="E65" s="287"/>
      <c r="F65" s="137"/>
      <c r="G65" s="289"/>
      <c r="H65" s="289"/>
      <c r="I65" s="289"/>
      <c r="J65" s="289"/>
      <c r="K65" s="289"/>
      <c r="L65" s="289"/>
      <c r="M65" s="289"/>
      <c r="N65" s="289"/>
      <c r="O65" s="289"/>
      <c r="P65" s="289"/>
      <c r="Q65" s="204"/>
      <c r="R65" s="692"/>
      <c r="S65" s="135" cm="1">
        <f t="array" ref="S65">_xlfn.IFS($D$65="Full Year", ROUND((((G65*(52/12)*8.77)/1520)*8.77)*2,2),
 $D$65="Fall",ROUND((((G65*(((52/12)*8.77)/1520)*8.77))/2)*2,2),
$D$65="Spring",(ROUND((((G65*(((52/12)*8.77)/1520)*8.77))/2)*2,2)))</f>
        <v>0</v>
      </c>
      <c r="T65" s="135" cm="1">
        <f t="array" ref="T65">_xlfn.IFS($D$65="Full Year", ROUND((((H65*(52/12)*8.77)/1520)*8.77)*2,2),
 $D$65="Fall",ROUND((((H65*(((52/12)*8.77)/1520)*8.77))/2)*2,2),
$D$65="Spring",(ROUND((((H65*(((52/12)*8.77)/1520)*8.77))/2)*2,2)))</f>
        <v>0</v>
      </c>
      <c r="U65" s="135" cm="1">
        <f t="array" ref="U65">_xlfn.IFS($D$65="Full Year", ROUND((((I65*(52/12)*8.77)/1520)*8.77)*2,2),
 $D$65="Fall",ROUND((((I65*(((52/12)*8.77)/1520)*8.77))/2)*2,2),
$D$65="Spring",(ROUND((((I65*(((52/12)*8.77)/1520)*8.77))/2)*2,2)))</f>
        <v>0</v>
      </c>
      <c r="V65" s="135" cm="1">
        <f t="array" ref="V65">_xlfn.IFS($D$65="Full Year", ROUND((((J65*(52/12)*8.77)/1520)*8.77)*2,2),
 $D$65="Fall",ROUND((((J65*(((52/12)*8.77)/1520)*8.77))/2)*2,2),
$D$65="Spring",(ROUND((((J65*(((52/12)*8.77)/1520)*8.77))/2)*2,2)))</f>
        <v>0</v>
      </c>
      <c r="W65" s="135" cm="1">
        <f t="array" ref="W65">_xlfn.IFS($D$65="Full Year", ROUND((((K65*(52/12)*8.77)/1520)*8.77)*2,2),
 $D$65="Fall",ROUND((((K65*(((52/12)*8.77)/1520)*8.77))/2)*2,2),
$D$65="Spring",(ROUND((((K65*(((52/12)*8.77)/1520)*8.77))/2)*2,2)))</f>
        <v>0</v>
      </c>
      <c r="X65" s="135" cm="1">
        <f t="array" ref="X65">_xlfn.IFS($D$65="Full Year", ROUND((((L65*(52/12)*8.77)/1520)*8.77)*2,2),
 $D$65="Fall",ROUND((((L65*(((52/12)*8.77)/1520)*8.77))/2)*2,2),
$D$65="Spring",(ROUND((((L65*(((52/12)*8.77)/1520)*8.77))/2)*2,2)))</f>
        <v>0</v>
      </c>
      <c r="Y65" s="135" cm="1">
        <f t="array" ref="Y65">_xlfn.IFS($D$65="Full Year", ROUND((((M65*(52/12)*8.77)/1520)*8.77)*2,2),
 $D$65="Fall",ROUND((((M65*(((52/12)*8.77)/1520)*8.77))/2)*2,2),
$D$65="Spring",(ROUND((((M65*(((52/12)*8.77)/1520)*8.77))/2)*2,2)))</f>
        <v>0</v>
      </c>
      <c r="Z65" s="135" cm="1">
        <f t="array" ref="Z65">_xlfn.IFS($D$65="Full Year", ROUND((((N65*(52/12)*8.77)/1520)*8.77)*2,2),
 $D$65="Fall",ROUND((((N65*(((52/12)*8.77)/1520)*8.77))/2)*2,2),
$D$65="Spring",(ROUND((((N65*(((52/12)*8.77)/1520)*8.77))/2)*2,2)))</f>
        <v>0</v>
      </c>
      <c r="AA65" s="135" cm="1">
        <f t="array" ref="AA65">_xlfn.IFS($D$65="Full Year", ROUND((((O65*(52/12)*8.77)/1520)*8.77)*2,2),
 $D$65="Fall",ROUND((((O65*(((52/12)*8.77)/1520)*8.77))/2)*2,2),
$D$65="Spring",(ROUND((((O65*(((52/12)*8.77)/1520)*8.77))/2)*2,2)))</f>
        <v>0</v>
      </c>
      <c r="AB65" s="135" cm="1">
        <f t="array" ref="AB65">_xlfn.IFS($D$65="Full Year", ROUND((((P65*(52/12)*8.77)/1520)*8.77)*2,2),
 $D$65="Fall",ROUND((((P65*(((52/12)*8.77)/1520)*8.77))/2)*2,2),
$D$65="Spring",(ROUND((((P65*(((52/12)*8.77)/1520)*8.77))/2)*2,2)))</f>
        <v>0</v>
      </c>
      <c r="AC65"/>
      <c r="AD65" s="291" cm="1">
        <f t="array" ref="AD65">_xlfn.IFS($D$65="Full year", ((($E$65*8.77/760*G65*38)*$B$65)*1.03^G$2),
$D$65="Fall", ((($E$65*8.77/760*G65*19)*$B$65)*1.03^G$2),
$D$65="Spring",(($E$65*8.77/760*G65*19)*$B$65)*1.03^G$2)</f>
        <v>0</v>
      </c>
      <c r="AE65" s="291" cm="1">
        <f t="array" ref="AE65">_xlfn.IFS($D$65="Full year", ((($E$65*8.77/760*H65*38)*$B$65)*1.03^H$2),
$D$65="Fall", ((($E$65*8.77/760*H65*19)*$B$65)*1.03^H$2),
$D$65="Spring",(($E$65*8.77/760*H65*19)*$B$65)*1.03^H$2)</f>
        <v>0</v>
      </c>
      <c r="AF65" s="291" cm="1">
        <f t="array" ref="AF65">_xlfn.IFS($D$65="Full year", ((($E$65*8.77/760*I65*38)*$B$65)*1.03^I$2),
$D$65="Fall", ((($E$65*8.77/760*I65*19)*$B$65)*1.03^I$2),
$D$65="Spring",(($E$65*8.77/760*I65*19)*$B$65)*1.03^I$2)</f>
        <v>0</v>
      </c>
      <c r="AG65" s="291" cm="1">
        <f t="array" ref="AG65">_xlfn.IFS($D$65="Full year", ((($E$65*8.77/760*J65*38)*$B$65)*1.03^J$2),
$D$65="Fall", ((($E$65*8.77/760*J65*19)*$B$65)*1.03^J$2),
$D$65="Spring",(($E$65*8.77/760*J65*19)*$B$65)*1.03^J$2)</f>
        <v>0</v>
      </c>
      <c r="AH65" s="291" cm="1">
        <f t="array" ref="AH65">_xlfn.IFS($D$65="Full year", ((($E$65*8.77/760*K65*38)*$B$65)*1.03^K$2),
$D$65="Fall", ((($E$65*8.77/760*K65*19)*$B$65)*1.03^K$2),
$D$65="Spring",(($E$65*8.77/760*K65*19)*$B$65)*1.03^K$2)</f>
        <v>0</v>
      </c>
      <c r="AI65" s="291" cm="1">
        <f t="array" ref="AI65">_xlfn.IFS($D$65="Full year", ((($E$65*8.77/760*L65*38)*$B$65)*1.03^L$2),
$D$65="Fall", ((($E$65*8.77/760*L65*19)*$B$65)*1.03^L$2),
$D$65="Spring",(($E$65*8.77/760*L65*19)*$B$65)*1.03^L$2)</f>
        <v>0</v>
      </c>
      <c r="AJ65" s="291" cm="1">
        <f t="array" ref="AJ65">_xlfn.IFS($D$65="Full year", ((($E$65*8.77/760*M65*38)*$B$65)*1.03^M$2),
$D$65="Fall", ((($E$65*8.77/760*M65*19)*$B$65)*1.03^M$2),
$D$65="Spring",(($E$65*8.77/760*M65*19)*$B$65)*1.03^M$2)</f>
        <v>0</v>
      </c>
      <c r="AK65" s="291" cm="1">
        <f t="array" ref="AK65">_xlfn.IFS($D$65="Full year", ((($E$65*8.77/760*N65*38)*$B$65)*1.03^N$2),
$D$65="Fall", ((($E$65*8.77/760*N65*19)*$B$65)*1.03^N$2),
$D$65="Spring",(($E$65*8.77/760*N65*19)*$B$65)*1.03^N$2)</f>
        <v>0</v>
      </c>
      <c r="AL65" s="291" cm="1">
        <f t="array" ref="AL65">_xlfn.IFS($D$65="Full year", ((($E$65*8.77/760*O65*38)*$B$65)*1.03^O$2),
$D$65="Fall", ((($E$65*8.77/760*O65*19)*$B$65)*1.03^O$2),
$D$65="Spring",(($E$65*8.77/760*O65*19)*$B$65)*1.03^O$2)</f>
        <v>0</v>
      </c>
      <c r="AM65" s="291" cm="1">
        <f t="array" ref="AM65">_xlfn.IFS($D$65="Full year", ((($E$65*8.77/760*P65*38)*$B$65)*1.03^P$2),
$D$65="Fall", ((($E$65*8.77/760*P65*19)*$B$65)*1.03^P$2),
$D$65="Spring",(($E$65*8.77/760*P65*19)*$B$65)*1.03^P$2)</f>
        <v>0</v>
      </c>
      <c r="AN65" s="316">
        <f t="shared" si="72"/>
        <v>0</v>
      </c>
      <c r="AO65" s="518">
        <f t="shared" si="66"/>
        <v>0</v>
      </c>
      <c r="AP65" s="576" cm="1">
        <f t="array" ref="AP65">_xlfn.IFS($BP$65="Full year", ((($BQ$65*8.77/760*BB65*38)*$BN$65)*1.03^G$2),
$BP$65="Fall", ((($BQ$65*8.77/760*BB65*19)*$BN$65)*1.03^G$2),
$BP$65="Spring",(($BQ$65*8.77/760*BB65*19)*BN$65)*1.03^G$2)</f>
        <v>0</v>
      </c>
      <c r="AQ65" s="577" cm="1">
        <f t="array" ref="AQ65">_xlfn.IFS($BP$65="Full year", ((($BQ$65*8.77/760*BC65*38)*$BN$65)*1.03^H$2),
 $BP$65="Fall", ((($BQ$65*8.77/760*BC65*19)*$BN$65)*1.03^H$2),
$BP$65="Spring",(($BQ$65*8.77/760*BC65*19)*BN$65)*1.03^H$2)</f>
        <v>0</v>
      </c>
      <c r="AR65" s="577" cm="1">
        <f t="array" ref="AR65">_xlfn.IFS($BP$65="Full year", ((($BQ$65*8.77/760*BD65*38)*$BN$65)*1.03^I$2),
 $BP$65="Fall", ((($BQ$65*8.77/760*BD65*19)*$BN$65)*1.03^I$2),
$BP$65="Spring",(($BQ$65*8.77/760*BD65*19)*$BN$65)*1.03^I$2)</f>
        <v>0</v>
      </c>
      <c r="AS65" s="577" cm="1">
        <f t="array" ref="AS65">_xlfn.IFS($BP$65="Full year", ((($BQ$65*8.77/760*BE65*38)*$BN$65)*1.03^J$2),
 $BP$65="Fall", ((($BQ$65*8.77/760*BE65*19)*$BN$65)*1.03^J$2),
$BP$65="Spring",(($BQ$65*8.77/760*BE65*19)*$BN$65)*1.03^J$2)</f>
        <v>0</v>
      </c>
      <c r="AT65" s="577" cm="1">
        <f t="array" ref="AT65">_xlfn.IFS($BP$65="Full year", ((($BQ$65*8.77/760*BF65*38)*$BN$65)*1.03^K$2),
 $BP$65="Fall", ((($BQ$65*8.77/760*BF65*19)*$BN$65)*1.03^K$2),
$BP$65="Spring",(($BQ$65*8.77/760*BF65*19)*$BN$65)*1.03^K$2)</f>
        <v>0</v>
      </c>
      <c r="AU65" s="577" cm="1">
        <f t="array" ref="AU65">_xlfn.IFS($BP$65="Full year", ((($BQ$65*8.77/760*BG65*38)*$BN$65)*1.03^L$2),
 $BP$65="Fall", ((($BQ$65*8.77/760*BG65*19)*$BN$65)*1.03^L$2),
$BP$65="Spring",(($BQ$65*8.77/760*BG65*19)*$BN$65)*1.03^L$2)</f>
        <v>0</v>
      </c>
      <c r="AV65" s="577" cm="1">
        <f t="array" ref="AV65">_xlfn.IFS($BP$65="Full year", ((($BQ$65*8.77/760*BH65*38)*$BN$65)*1.03^M$2),
 $BP$65="Fall", ((($BQ$65*8.77/760*BH65*19)*$BN$65)*1.03^M$2),
$BP$65="Spring",(($BQ$65*8.77/760*BH65*19)*$BN$65)*1.03^M$2)</f>
        <v>0</v>
      </c>
      <c r="AW65" s="577" cm="1">
        <f t="array" ref="AW65">_xlfn.IFS($BP$65="Full year", ((($BQ$65*8.77/760*BI65*38)*$BN$65)*1.03^N$2),
 $BP$65="Fall", ((($BQ$65*8.77/760*BI65*19)*$BN$65)*1.03^N$2),
$BP$65="Spring",(($BQ$65*8.77/760*BI65*19)*$BN$65)*1.03^N$2)</f>
        <v>0</v>
      </c>
      <c r="AX65" s="577" cm="1">
        <f t="array" ref="AX65">_xlfn.IFS($BP$65="Full year", ((($BQ$65*8.77/760*BJ65*38)*$BN$65)*1.03^O$2),
 $BP$65="Fall", ((($BQ$65*8.77/760*BJ65*19)*$BN$65)*1.03^O$2),
$BP$65="Spring",(($BQ$65*8.77/760*BJ65*19)*$BN$65)*1.03^O$2)</f>
        <v>0</v>
      </c>
      <c r="AY65" s="577" cm="1">
        <f t="array" ref="AY65">_xlfn.IFS($BP$65="Full year", ((($BQ$65*8.77/760*BK65*38)*$BN$65)*1.03^P$2),
 $BP$65="Fall", ((($BQ$65*8.77/760*BK65*19)*$BN$65)*1.03^P$2),
$BP$65="Spring",(($BQ$65*8.77/760*BK65*19)*$BN$65)*1.03^P$2)</f>
        <v>0</v>
      </c>
      <c r="AZ65" s="578">
        <f t="shared" si="67"/>
        <v>0</v>
      </c>
      <c r="BA65" s="138"/>
      <c r="BB65" s="285"/>
      <c r="BC65" s="285"/>
      <c r="BD65" s="285"/>
      <c r="BE65" s="285"/>
      <c r="BF65" s="285"/>
      <c r="BG65" s="285"/>
      <c r="BH65" s="285"/>
      <c r="BI65" s="285"/>
      <c r="BJ65" s="285"/>
      <c r="BK65" s="285"/>
      <c r="BN65" s="289"/>
      <c r="BO65" s="608" t="s">
        <v>213</v>
      </c>
      <c r="BP65" s="203" t="s">
        <v>206</v>
      </c>
      <c r="BQ65" s="287"/>
      <c r="BT65" s="193" cm="1">
        <f t="array" ref="BT65">_xlfn.IFS($BP$65="Full Year",ROUND((((BB65*(52/12)*8.77)/1520)*8.77)*2,2),
$BP$65="Fall",ROUND((((BB65*(((52/12)*8.77)/1520)*8.77))/2)*2,2),
$BP$65="Spring",(ROUND((((BB65*(((52/12)*8.77)/1520)*8.77))/2)*2,2)))</f>
        <v>0</v>
      </c>
      <c r="BU65" s="135" cm="1">
        <f t="array" ref="BU65">_xlfn.IFS($BP$65="Full Year",ROUND((((BC65*(52/12)*8.77)/1520)*8.77)*2,2),
$BP$65="Fall",ROUND((((BC65*(((52/12)*8.77)/1520)*8.77))/2)*2,2),
$BP$65="Spring",(ROUND((((BC65*(((52/12)*8.77)/1520)*8.77))/2)*2,2)))</f>
        <v>0</v>
      </c>
      <c r="BV65" s="135" cm="1">
        <f t="array" ref="BV65">_xlfn.IFS($BP$65="Full Year",ROUND((((BD65*(52/12)*8.77)/1520)*8.77)*2,2),
$BP$65="Fall",ROUND((((BD65*(((52/12)*8.77)/1520)*8.77))/2)*2,2),
$BP$65="Spring",(ROUND((((BD65*(((52/12)*8.77)/1520)*8.77))/2)*2,2)))</f>
        <v>0</v>
      </c>
      <c r="BW65" s="135" cm="1">
        <f t="array" ref="BW65">_xlfn.IFS($BP$65="Full Year",ROUND((((BE65*(52/12)*8.77)/1520)*8.77)*2,2),
$BP$65="Fall",ROUND((((BE65*(((52/12)*8.77)/1520)*8.77))/2)*2,2),
$BP$65="Spring",(ROUND((((BE65*(((52/12)*8.77)/1520)*8.77))/2)*2,2)))</f>
        <v>0</v>
      </c>
      <c r="BX65" s="135" cm="1">
        <f t="array" ref="BX65">_xlfn.IFS($BP$65="Full Year",ROUND((((BF65*(52/12)*8.77)/1520)*8.77)*2,2),
$BP$65="Fall",ROUND((((BF65*(((52/12)*8.77)/1520)*8.77))/2)*2,2),
$BP$65="Spring",(ROUND((((BF65*(((52/12)*8.77)/1520)*8.77))/2)*2,2)))</f>
        <v>0</v>
      </c>
      <c r="BY65" s="135" cm="1">
        <f t="array" ref="BY65">_xlfn.IFS($BP$65="Full Year",ROUND((((BG65*(52/12)*8.77)/1520)*8.77)*2,2),
$BP$65="Fall",ROUND((((BG65*(((52/12)*8.77)/1520)*8.77))/2)*2,2),
$BP$65="Spring",(ROUND((((BG65*(((52/12)*8.77)/1520)*8.77))/2)*2,2)))</f>
        <v>0</v>
      </c>
      <c r="BZ65" s="135" cm="1">
        <f t="array" ref="BZ65">_xlfn.IFS($BP$65="Full Year",ROUND((((BH65*(52/12)*8.77)/1520)*8.77)*2,2),
$BP$65="Fall",ROUND((((BH65*(((52/12)*8.77)/1520)*8.77))/2)*2,2),
$BP$65="Spring",(ROUND((((BH65*(((52/12)*8.77)/1520)*8.77))/2)*2,2)))</f>
        <v>0</v>
      </c>
      <c r="CA65" s="135" cm="1">
        <f t="array" ref="CA65">_xlfn.IFS($BP$65="Full Year",ROUND((((BI65*(52/12)*8.77)/1520)*8.77)*2,2),
$BP$65="Fall",ROUND((((BI65*(((52/12)*8.77)/1520)*8.77))/2)*2,2),
$BP$65="Spring",(ROUND((((BI65*(((52/12)*8.77)/1520)*8.77))/2)*2,2)))</f>
        <v>0</v>
      </c>
      <c r="CB65" s="135" cm="1">
        <f t="array" ref="CB65">_xlfn.IFS($BP$65="Full Year",ROUND((((BJ65*(52/12)*8.77)/1520)*8.77)*2,2),
$BP$65="Fall",ROUND((((BJ65*(((52/12)*8.77)/1520)*8.77))/2)*2,2),
$BP$65="Spring",(ROUND((((BJ65*(((52/12)*8.77)/1520)*8.77))/2)*2,2)))</f>
        <v>0</v>
      </c>
      <c r="CC65" s="567" cm="1">
        <f t="array" ref="CC65">_xlfn.IFS($BP$65="Full Year",ROUND((((BK65*(52/12)*8.77)/1520)*8.77)*2,2),
$BP$65="Fall",ROUND((((BK65*(((52/12)*8.77)/1520)*8.77))/2)*2,2),
$BP$65="Spring",(ROUND((((BK65*(((52/12)*8.77)/1520)*8.77))/2)*2,2)))</f>
        <v>0</v>
      </c>
      <c r="CD65" s="149"/>
    </row>
    <row r="66" spans="2:82" ht="25.5" customHeight="1" outlineLevel="1" x14ac:dyDescent="0.25">
      <c r="B66" s="254"/>
      <c r="C66" s="552"/>
      <c r="D66" s="30" t="s">
        <v>208</v>
      </c>
      <c r="E66" s="258"/>
      <c r="F66" s="136"/>
      <c r="G66" s="255"/>
      <c r="H66" s="255"/>
      <c r="I66" s="255"/>
      <c r="J66" s="255"/>
      <c r="K66" s="255"/>
      <c r="L66" s="255"/>
      <c r="M66" s="255"/>
      <c r="N66" s="255"/>
      <c r="O66" s="255"/>
      <c r="P66" s="255"/>
      <c r="Q66" s="204"/>
      <c r="R66" s="692"/>
      <c r="S66" s="134">
        <f>ROUND(((G66*(52/12)*3.23)/560)*3.23,2)</f>
        <v>0</v>
      </c>
      <c r="T66" s="134">
        <f>ROUND(((H66*(52/12)*3.23)/560)*3.23,2)</f>
        <v>0</v>
      </c>
      <c r="U66" s="134">
        <f>ROUND(((I66*(52/12)*3.23)/560)*3.23,2)</f>
        <v>0</v>
      </c>
      <c r="V66" s="134">
        <f>ROUND(((J66*(52/12)*3.23)/560)*3.23,2)</f>
        <v>0</v>
      </c>
      <c r="W66" s="134">
        <f>ROUND(((K66*(52/12)*3.23)/560)*3.23,2)</f>
        <v>0</v>
      </c>
      <c r="X66" s="134">
        <f t="shared" ref="X66:AB66" si="86">ROUND(((L66*(52/12)*3.23)/560)*3.23,2)</f>
        <v>0</v>
      </c>
      <c r="Y66" s="134">
        <f t="shared" si="86"/>
        <v>0</v>
      </c>
      <c r="Z66" s="134">
        <f t="shared" si="86"/>
        <v>0</v>
      </c>
      <c r="AA66" s="134">
        <f t="shared" si="86"/>
        <v>0</v>
      </c>
      <c r="AB66" s="134">
        <f t="shared" si="86"/>
        <v>0</v>
      </c>
      <c r="AC66"/>
      <c r="AD66" s="67">
        <f>(($E$66*3.23/560*G66*14)*$B$66)*1.03^G$2</f>
        <v>0</v>
      </c>
      <c r="AE66" s="67">
        <f>(($E$66*3.23/560*H66*14)*$B$66)*1.03^H$2</f>
        <v>0</v>
      </c>
      <c r="AF66" s="67">
        <f>(($E$66*3.23/560*I66*14)*$B$66)*1.03^I$2</f>
        <v>0</v>
      </c>
      <c r="AG66" s="67">
        <f>(($E$66*3.23/560*J66*14)*$B$66)*1.03^J$2</f>
        <v>0</v>
      </c>
      <c r="AH66" s="67">
        <f>(($E$66*3.23/560*K66*14)*$B$66)*1.03^K$2</f>
        <v>0</v>
      </c>
      <c r="AI66" s="67">
        <f t="shared" ref="AI66:AM66" si="87">(($E$66*3.23/560*L66*14)*$B$66)*1.03^L$2</f>
        <v>0</v>
      </c>
      <c r="AJ66" s="67">
        <f t="shared" si="87"/>
        <v>0</v>
      </c>
      <c r="AK66" s="67">
        <f t="shared" si="87"/>
        <v>0</v>
      </c>
      <c r="AL66" s="67">
        <f t="shared" si="87"/>
        <v>0</v>
      </c>
      <c r="AM66" s="67">
        <f t="shared" si="87"/>
        <v>0</v>
      </c>
      <c r="AN66" s="69">
        <f t="shared" si="72"/>
        <v>0</v>
      </c>
      <c r="AO66" s="518">
        <f t="shared" si="66"/>
        <v>0</v>
      </c>
      <c r="AP66" s="570">
        <f t="shared" ref="AP66:AY66" si="88">(($BQ$66*8.77/760*BB66*14)*$BN$66)*1.03^G$2</f>
        <v>0</v>
      </c>
      <c r="AQ66" s="571">
        <f t="shared" si="88"/>
        <v>0</v>
      </c>
      <c r="AR66" s="571">
        <f t="shared" si="88"/>
        <v>0</v>
      </c>
      <c r="AS66" s="571">
        <f t="shared" si="88"/>
        <v>0</v>
      </c>
      <c r="AT66" s="571">
        <f t="shared" si="88"/>
        <v>0</v>
      </c>
      <c r="AU66" s="571">
        <f t="shared" si="88"/>
        <v>0</v>
      </c>
      <c r="AV66" s="571">
        <f t="shared" si="88"/>
        <v>0</v>
      </c>
      <c r="AW66" s="571">
        <f t="shared" si="88"/>
        <v>0</v>
      </c>
      <c r="AX66" s="570">
        <f t="shared" si="88"/>
        <v>0</v>
      </c>
      <c r="AY66" s="571">
        <f t="shared" si="88"/>
        <v>0</v>
      </c>
      <c r="AZ66" s="572">
        <f t="shared" si="67"/>
        <v>0</v>
      </c>
      <c r="BA66" s="138"/>
      <c r="BB66" s="254"/>
      <c r="BC66" s="254"/>
      <c r="BD66" s="254"/>
      <c r="BE66" s="254"/>
      <c r="BF66" s="254"/>
      <c r="BG66" s="254"/>
      <c r="BH66" s="254"/>
      <c r="BI66" s="254"/>
      <c r="BJ66" s="254"/>
      <c r="BK66" s="254"/>
      <c r="BN66" s="254"/>
      <c r="BO66" s="604"/>
      <c r="BP66" s="30" t="s">
        <v>208</v>
      </c>
      <c r="BQ66" s="258"/>
      <c r="BT66" s="192">
        <f>ROUND(((BB66*(52/12)*3.23)/560)*3.23,2)</f>
        <v>0</v>
      </c>
      <c r="BU66" s="134">
        <f>ROUND(((BC66*(52/12)*3.23)/560)*3.23,2)</f>
        <v>0</v>
      </c>
      <c r="BV66" s="134">
        <f>ROUND(((BD66*(52/12)*3.23)/560)*3.23,2)</f>
        <v>0</v>
      </c>
      <c r="BW66" s="134">
        <f>ROUND(((BE66*(52/12)*3.23)/560)*3.23,2)</f>
        <v>0</v>
      </c>
      <c r="BX66" s="134">
        <f t="shared" ref="BX66:CC66" si="89">ROUND(((BF66*(52/12)*3.23)/560)*3.23,2)</f>
        <v>0</v>
      </c>
      <c r="BY66" s="134">
        <f t="shared" si="89"/>
        <v>0</v>
      </c>
      <c r="BZ66" s="134">
        <f t="shared" si="89"/>
        <v>0</v>
      </c>
      <c r="CA66" s="134">
        <f t="shared" si="89"/>
        <v>0</v>
      </c>
      <c r="CB66" s="134">
        <f t="shared" si="89"/>
        <v>0</v>
      </c>
      <c r="CC66" s="566">
        <f t="shared" si="89"/>
        <v>0</v>
      </c>
      <c r="CD66" s="149"/>
    </row>
    <row r="67" spans="2:82" ht="31.5" customHeight="1" x14ac:dyDescent="0.25">
      <c r="B67" s="808" t="s">
        <v>214</v>
      </c>
      <c r="C67" s="808"/>
      <c r="D67" s="808"/>
      <c r="E67" s="808"/>
      <c r="F67" s="808"/>
      <c r="G67" s="808"/>
      <c r="H67" s="808"/>
      <c r="I67" s="808"/>
      <c r="J67" s="808"/>
      <c r="K67" s="808"/>
      <c r="L67" s="808"/>
      <c r="M67" s="808"/>
      <c r="N67" s="808"/>
      <c r="O67" s="808"/>
      <c r="P67" s="808"/>
      <c r="Q67" s="808"/>
      <c r="R67" s="808"/>
      <c r="S67" s="808"/>
      <c r="T67" s="808"/>
      <c r="U67" s="808"/>
      <c r="V67" s="808"/>
      <c r="W67" s="808"/>
      <c r="X67" s="808"/>
      <c r="Y67" s="808"/>
      <c r="Z67" s="808"/>
      <c r="AA67" s="808"/>
      <c r="AB67" s="808"/>
      <c r="AC67" s="808"/>
      <c r="AD67" s="354">
        <f t="shared" ref="AD67:AM67" si="90">SUM(AD57:AD66)</f>
        <v>0</v>
      </c>
      <c r="AE67" s="354">
        <f t="shared" si="90"/>
        <v>0</v>
      </c>
      <c r="AF67" s="354">
        <f t="shared" si="90"/>
        <v>0</v>
      </c>
      <c r="AG67" s="354">
        <f t="shared" si="90"/>
        <v>0</v>
      </c>
      <c r="AH67" s="354">
        <f t="shared" si="90"/>
        <v>0</v>
      </c>
      <c r="AI67" s="354">
        <f t="shared" si="90"/>
        <v>0</v>
      </c>
      <c r="AJ67" s="354">
        <f t="shared" si="90"/>
        <v>0</v>
      </c>
      <c r="AK67" s="354">
        <f t="shared" si="90"/>
        <v>0</v>
      </c>
      <c r="AL67" s="354">
        <f t="shared" si="90"/>
        <v>0</v>
      </c>
      <c r="AM67" s="354">
        <f t="shared" si="90"/>
        <v>0</v>
      </c>
      <c r="AN67" s="354">
        <f>SUM(AN57:AN66)</f>
        <v>0</v>
      </c>
      <c r="AO67" s="517">
        <f t="shared" si="66"/>
        <v>0</v>
      </c>
      <c r="AP67" s="579">
        <f>SUM(AP57:AP66)</f>
        <v>0</v>
      </c>
      <c r="AQ67" s="580">
        <f>SUM(AQ57:AQ66)</f>
        <v>0</v>
      </c>
      <c r="AR67" s="581">
        <f t="shared" ref="AR67:AY67" si="91">SUM(AR57:AR66)</f>
        <v>0</v>
      </c>
      <c r="AS67" s="581">
        <f t="shared" si="91"/>
        <v>0</v>
      </c>
      <c r="AT67" s="581">
        <f t="shared" si="91"/>
        <v>0</v>
      </c>
      <c r="AU67" s="581">
        <f t="shared" si="91"/>
        <v>0</v>
      </c>
      <c r="AV67" s="581">
        <f t="shared" si="91"/>
        <v>0</v>
      </c>
      <c r="AW67" s="581">
        <f t="shared" si="91"/>
        <v>0</v>
      </c>
      <c r="AX67" s="581">
        <f t="shared" si="91"/>
        <v>0</v>
      </c>
      <c r="AY67" s="582">
        <f t="shared" si="91"/>
        <v>0</v>
      </c>
      <c r="AZ67" s="583">
        <f>SUM(AZ57:AZ66)</f>
        <v>0</v>
      </c>
      <c r="BA67" s="382"/>
      <c r="BB67" s="726" t="s">
        <v>215</v>
      </c>
      <c r="BC67" s="726"/>
      <c r="BD67" s="726"/>
      <c r="BE67" s="726"/>
      <c r="BF67" s="726"/>
      <c r="BG67" s="726"/>
      <c r="BH67" s="726"/>
      <c r="BI67" s="726"/>
      <c r="BJ67" s="726"/>
      <c r="BK67" s="726"/>
      <c r="BL67" s="726"/>
      <c r="BM67" s="726"/>
      <c r="BN67" s="726"/>
      <c r="BO67" s="726"/>
      <c r="BP67" s="726"/>
      <c r="BQ67" s="726"/>
      <c r="BR67" s="726"/>
      <c r="BS67" s="726"/>
      <c r="BT67" s="726"/>
      <c r="BU67" s="726"/>
      <c r="BV67" s="726"/>
      <c r="BW67" s="726"/>
      <c r="BX67" s="726"/>
      <c r="BY67" s="726"/>
      <c r="BZ67" s="726"/>
      <c r="CA67" s="726"/>
      <c r="CB67" s="726"/>
      <c r="CC67" s="726"/>
      <c r="CD67" s="727"/>
    </row>
    <row r="68" spans="2:82" ht="39" customHeight="1" thickBot="1" x14ac:dyDescent="0.3">
      <c r="B68" s="744" t="s">
        <v>216</v>
      </c>
      <c r="C68" s="744"/>
      <c r="D68" s="744"/>
      <c r="E68" s="744"/>
      <c r="F68" s="744"/>
      <c r="G68" s="744"/>
      <c r="H68" s="744"/>
      <c r="I68" s="744"/>
      <c r="J68" s="744"/>
      <c r="K68" s="744"/>
      <c r="L68" s="744"/>
      <c r="M68" s="744"/>
      <c r="N68" s="744"/>
      <c r="O68" s="744"/>
      <c r="P68" s="744"/>
      <c r="Q68" s="744"/>
      <c r="R68" s="744"/>
      <c r="S68" s="744"/>
      <c r="T68" s="744"/>
      <c r="U68" s="744"/>
      <c r="V68" s="744"/>
      <c r="W68" s="744"/>
      <c r="X68" s="744"/>
      <c r="Y68" s="744"/>
      <c r="Z68" s="744"/>
      <c r="AA68" s="744"/>
      <c r="AB68" s="744"/>
      <c r="AC68" s="744"/>
      <c r="AD68" s="329">
        <f>OtherGRASalary1 + OtherSalary1</f>
        <v>0</v>
      </c>
      <c r="AE68" s="329">
        <f>OtherGRASalary2 + OtherSalary2</f>
        <v>0</v>
      </c>
      <c r="AF68" s="329">
        <f>OtherGRASalary3+OtherSalary3</f>
        <v>0</v>
      </c>
      <c r="AG68" s="329">
        <f>OtherGRASalary4+OtherSalary4</f>
        <v>0</v>
      </c>
      <c r="AH68" s="329">
        <f t="shared" ref="AH68:AM68" si="92">OtherGRASalary5+OtherSalary5</f>
        <v>0</v>
      </c>
      <c r="AI68" s="329">
        <f t="shared" si="92"/>
        <v>0</v>
      </c>
      <c r="AJ68" s="329">
        <f t="shared" si="92"/>
        <v>0</v>
      </c>
      <c r="AK68" s="329">
        <f t="shared" si="92"/>
        <v>0</v>
      </c>
      <c r="AL68" s="329">
        <f t="shared" si="92"/>
        <v>0</v>
      </c>
      <c r="AM68" s="329">
        <f t="shared" si="92"/>
        <v>0</v>
      </c>
      <c r="AN68" s="329">
        <f>OtherGRASalaryTot+OtherSalaryTot</f>
        <v>0</v>
      </c>
      <c r="AO68" s="517">
        <f t="shared" si="66"/>
        <v>0</v>
      </c>
      <c r="AP68" s="568">
        <f>cs.GRASalary1 + cs.Oth.Salary1</f>
        <v>0</v>
      </c>
      <c r="AQ68" s="568">
        <f>cs.GRASalary2 + cs.Oth.Salary2</f>
        <v>0</v>
      </c>
      <c r="AR68" s="568">
        <f>cs.GRASalary3 + cs.Oth.Salary3</f>
        <v>0</v>
      </c>
      <c r="AS68" s="568">
        <f>cs.GRASalary4 + cs.Oth.Salary4</f>
        <v>0</v>
      </c>
      <c r="AT68" s="568">
        <f>cs.GRASalary5 + cs.Oth.Salary5</f>
        <v>0</v>
      </c>
      <c r="AU68" s="568" cm="1">
        <f t="array" ref="AU68">cs.GRASalary6 + cs.Oth.Salary6</f>
        <v>0</v>
      </c>
      <c r="AV68" s="568" cm="1">
        <f t="array" ref="AV68">cs.GRASalary7 + cs.Oth.Salary7</f>
        <v>0</v>
      </c>
      <c r="AW68" s="568" cm="1">
        <f t="array" ref="AW68">cs.GRASalary8 + cs.Oth.Salary8</f>
        <v>0</v>
      </c>
      <c r="AX68" s="568" cm="1">
        <f t="array" ref="AX68">cs.GRASalary9 + cs.Oth.Salary9</f>
        <v>0</v>
      </c>
      <c r="AY68" s="568" cm="1">
        <f t="array" ref="AY68">cs.GRASalary10 + cs.Oth.Salary10</f>
        <v>0</v>
      </c>
      <c r="AZ68" s="569">
        <f>cs.GRASalaryToT + cs.Oth.SalaryTot</f>
        <v>0</v>
      </c>
      <c r="BA68" s="381"/>
      <c r="BB68" s="728" t="s">
        <v>217</v>
      </c>
      <c r="BC68" s="728"/>
      <c r="BD68" s="728"/>
      <c r="BE68" s="728"/>
      <c r="BF68" s="728"/>
      <c r="BG68" s="728"/>
      <c r="BH68" s="728"/>
      <c r="BI68" s="728"/>
      <c r="BJ68" s="728"/>
      <c r="BK68" s="728"/>
      <c r="BL68" s="728"/>
      <c r="BM68" s="728"/>
      <c r="BN68" s="728"/>
      <c r="BO68" s="728"/>
      <c r="BP68" s="728"/>
      <c r="BQ68" s="728"/>
      <c r="BR68" s="728"/>
      <c r="BS68" s="728"/>
      <c r="BT68" s="728"/>
      <c r="BU68" s="728"/>
      <c r="BV68" s="728"/>
      <c r="BW68" s="728"/>
      <c r="BX68" s="728"/>
      <c r="BY68" s="728"/>
      <c r="BZ68" s="728"/>
      <c r="CA68" s="728"/>
      <c r="CB68" s="728"/>
      <c r="CC68" s="728"/>
      <c r="CD68" s="729"/>
    </row>
    <row r="69" spans="2:82" ht="53.25" customHeight="1" thickBot="1" x14ac:dyDescent="0.35">
      <c r="B69" s="738" t="s">
        <v>218</v>
      </c>
      <c r="C69" s="738"/>
      <c r="D69" s="738"/>
      <c r="E69" s="738"/>
      <c r="F69" s="738"/>
      <c r="G69" s="738"/>
      <c r="H69" s="738"/>
      <c r="I69" s="738"/>
      <c r="J69" s="738"/>
      <c r="K69" s="738"/>
      <c r="L69" s="738"/>
      <c r="M69" s="738"/>
      <c r="N69" s="738"/>
      <c r="O69" s="738"/>
      <c r="P69" s="738"/>
      <c r="Q69" s="738"/>
      <c r="R69" s="738"/>
      <c r="S69" s="738"/>
      <c r="T69" s="738"/>
      <c r="U69" s="738"/>
      <c r="V69" s="738"/>
      <c r="W69" s="738"/>
      <c r="X69" s="738"/>
      <c r="Y69" s="738"/>
      <c r="Z69" s="738"/>
      <c r="AA69" s="738"/>
      <c r="AB69" s="738"/>
      <c r="AC69" s="738"/>
      <c r="AD69" s="738"/>
      <c r="AE69" s="738"/>
      <c r="AF69" s="738"/>
      <c r="AG69" s="738"/>
      <c r="AH69" s="738"/>
      <c r="AI69" s="738"/>
      <c r="AJ69" s="738"/>
      <c r="AK69" s="738"/>
      <c r="AL69" s="738"/>
      <c r="AM69" s="738"/>
      <c r="AN69" s="738"/>
      <c r="AO69" s="511"/>
      <c r="AP69" s="672" t="s">
        <v>218</v>
      </c>
      <c r="AQ69" s="672"/>
      <c r="AR69" s="672"/>
      <c r="AS69" s="672"/>
      <c r="AT69" s="672"/>
      <c r="AU69" s="672"/>
      <c r="AV69" s="672"/>
      <c r="AW69" s="672"/>
      <c r="AX69" s="672"/>
      <c r="AY69" s="672"/>
      <c r="AZ69" s="672"/>
      <c r="BA69" s="672"/>
      <c r="BB69" s="672"/>
      <c r="BC69" s="672"/>
      <c r="BD69" s="672"/>
      <c r="BE69" s="672"/>
      <c r="BF69" s="672"/>
      <c r="BG69" s="672"/>
      <c r="BH69" s="672"/>
      <c r="BI69" s="672"/>
      <c r="BJ69" s="672"/>
      <c r="BK69" s="672"/>
      <c r="BL69" s="672"/>
      <c r="BM69" s="672"/>
      <c r="BN69" s="672"/>
      <c r="BO69" s="672"/>
      <c r="BP69" s="672"/>
      <c r="BQ69" s="672"/>
      <c r="BR69" s="672"/>
      <c r="BS69" s="672"/>
      <c r="BT69" s="672"/>
      <c r="BU69" s="672"/>
      <c r="BV69" s="672"/>
      <c r="BW69" s="672"/>
      <c r="BX69" s="672"/>
      <c r="BY69" s="672"/>
      <c r="BZ69" s="672"/>
      <c r="CA69" s="672"/>
      <c r="CB69" s="672"/>
      <c r="CC69" s="672"/>
      <c r="CD69" s="672"/>
    </row>
    <row r="70" spans="2:82" ht="51.75" customHeight="1" thickTop="1" x14ac:dyDescent="0.25">
      <c r="B70" s="693" t="s">
        <v>123</v>
      </c>
      <c r="C70" s="694"/>
      <c r="D70" s="62" t="s">
        <v>124</v>
      </c>
      <c r="E70" s="63" t="s">
        <v>219</v>
      </c>
      <c r="F70" s="801" t="s">
        <v>220</v>
      </c>
      <c r="G70" s="802"/>
      <c r="H70" s="802"/>
      <c r="I70" s="802"/>
      <c r="J70" s="802"/>
      <c r="K70" s="802"/>
      <c r="L70" s="802"/>
      <c r="M70" s="802"/>
      <c r="N70" s="802"/>
      <c r="O70" s="802"/>
      <c r="P70" s="802"/>
      <c r="Q70" s="802"/>
      <c r="R70" s="802"/>
      <c r="S70" s="802"/>
      <c r="T70" s="802"/>
      <c r="U70" s="802"/>
      <c r="V70" s="802"/>
      <c r="W70" s="802"/>
      <c r="X70" s="802"/>
      <c r="Y70" s="802"/>
      <c r="Z70" s="802"/>
      <c r="AA70" s="802"/>
      <c r="AB70" s="802"/>
      <c r="AC70" s="802"/>
      <c r="AD70" s="51" t="s">
        <v>137</v>
      </c>
      <c r="AE70" s="51" t="s">
        <v>138</v>
      </c>
      <c r="AF70" s="51" t="s">
        <v>139</v>
      </c>
      <c r="AG70" s="51" t="s">
        <v>140</v>
      </c>
      <c r="AH70" s="51" t="s">
        <v>141</v>
      </c>
      <c r="AI70" s="51" t="s">
        <v>142</v>
      </c>
      <c r="AJ70" s="51" t="s">
        <v>143</v>
      </c>
      <c r="AK70" s="51" t="s">
        <v>144</v>
      </c>
      <c r="AL70" s="51" t="s">
        <v>145</v>
      </c>
      <c r="AM70" s="51" t="s">
        <v>146</v>
      </c>
      <c r="AN70" s="353" t="s">
        <v>116</v>
      </c>
      <c r="AO70" s="512"/>
      <c r="AP70" s="25" t="s">
        <v>137</v>
      </c>
      <c r="AQ70" s="25" t="s">
        <v>138</v>
      </c>
      <c r="AR70" s="25" t="s">
        <v>139</v>
      </c>
      <c r="AS70" s="25" t="s">
        <v>140</v>
      </c>
      <c r="AT70" s="25" t="s">
        <v>141</v>
      </c>
      <c r="AU70" s="25" t="s">
        <v>142</v>
      </c>
      <c r="AV70" s="25" t="s">
        <v>143</v>
      </c>
      <c r="AW70" s="25" t="s">
        <v>144</v>
      </c>
      <c r="AX70" s="25" t="s">
        <v>145</v>
      </c>
      <c r="AY70" s="25" t="s">
        <v>146</v>
      </c>
      <c r="AZ70" s="367" t="s">
        <v>147</v>
      </c>
      <c r="BA70" s="848" t="s">
        <v>220</v>
      </c>
      <c r="BB70" s="693" t="s">
        <v>123</v>
      </c>
      <c r="BC70" s="694"/>
      <c r="BD70" s="62" t="s">
        <v>124</v>
      </c>
      <c r="BE70" s="63" t="s">
        <v>219</v>
      </c>
      <c r="BF70" s="205"/>
      <c r="BG70" s="205"/>
      <c r="BH70" s="205"/>
      <c r="BI70" s="205"/>
      <c r="BJ70" s="205"/>
      <c r="BK70" s="205"/>
      <c r="BL70" s="205"/>
      <c r="BM70" s="205"/>
      <c r="BR70" s="205"/>
      <c r="BS70"/>
      <c r="CD70" s="149"/>
    </row>
    <row r="71" spans="2:82" ht="22.5" customHeight="1" thickBot="1" x14ac:dyDescent="0.3">
      <c r="B71" s="689">
        <f>B11</f>
        <v>0</v>
      </c>
      <c r="C71" s="689"/>
      <c r="D71" s="32" t="str">
        <f>D11</f>
        <v>PI</v>
      </c>
      <c r="E71" s="259"/>
      <c r="F71" s="803"/>
      <c r="G71" s="804"/>
      <c r="H71" s="804"/>
      <c r="I71" s="804"/>
      <c r="J71" s="804"/>
      <c r="K71" s="804"/>
      <c r="L71" s="804"/>
      <c r="M71" s="804"/>
      <c r="N71" s="804"/>
      <c r="O71" s="804"/>
      <c r="P71" s="804"/>
      <c r="Q71" s="804"/>
      <c r="R71" s="804"/>
      <c r="S71" s="804"/>
      <c r="T71" s="804"/>
      <c r="U71" s="804"/>
      <c r="V71" s="804"/>
      <c r="W71" s="804"/>
      <c r="X71" s="804"/>
      <c r="Y71" s="804"/>
      <c r="Z71" s="804"/>
      <c r="AA71" s="804"/>
      <c r="AB71" s="804"/>
      <c r="AC71" s="804"/>
      <c r="AD71" s="557">
        <f t="shared" ref="AD71:AM73" si="93">ROUND($E71*AD11,0)</f>
        <v>0</v>
      </c>
      <c r="AE71" s="557">
        <f t="shared" si="93"/>
        <v>0</v>
      </c>
      <c r="AF71" s="557">
        <f t="shared" si="93"/>
        <v>0</v>
      </c>
      <c r="AG71" s="557">
        <f t="shared" si="93"/>
        <v>0</v>
      </c>
      <c r="AH71" s="557">
        <f t="shared" si="93"/>
        <v>0</v>
      </c>
      <c r="AI71" s="557">
        <f t="shared" si="93"/>
        <v>0</v>
      </c>
      <c r="AJ71" s="557">
        <f t="shared" si="93"/>
        <v>0</v>
      </c>
      <c r="AK71" s="557">
        <f t="shared" si="93"/>
        <v>0</v>
      </c>
      <c r="AL71" s="557">
        <f t="shared" si="93"/>
        <v>0</v>
      </c>
      <c r="AM71" s="557">
        <f t="shared" si="93"/>
        <v>0</v>
      </c>
      <c r="AN71" s="558">
        <f>SUM(AD71:AM71)</f>
        <v>0</v>
      </c>
      <c r="AO71" s="512">
        <f t="shared" ref="AO71:AO91" si="94">AN71+AZ71</f>
        <v>0</v>
      </c>
      <c r="AP71" s="599">
        <f t="shared" ref="AP71:AY71" si="95">ROUND($BE71*AP11,0)</f>
        <v>0</v>
      </c>
      <c r="AQ71" s="600">
        <f t="shared" si="95"/>
        <v>0</v>
      </c>
      <c r="AR71" s="600">
        <f t="shared" si="95"/>
        <v>0</v>
      </c>
      <c r="AS71" s="600">
        <f t="shared" si="95"/>
        <v>0</v>
      </c>
      <c r="AT71" s="600">
        <f t="shared" si="95"/>
        <v>0</v>
      </c>
      <c r="AU71" s="600">
        <f t="shared" si="95"/>
        <v>0</v>
      </c>
      <c r="AV71" s="600">
        <f t="shared" si="95"/>
        <v>0</v>
      </c>
      <c r="AW71" s="600">
        <f t="shared" si="95"/>
        <v>0</v>
      </c>
      <c r="AX71" s="600">
        <f t="shared" si="95"/>
        <v>0</v>
      </c>
      <c r="AY71" s="600">
        <f t="shared" si="95"/>
        <v>0</v>
      </c>
      <c r="AZ71" s="601">
        <f>SUM(AP71:AY71)</f>
        <v>0</v>
      </c>
      <c r="BA71" s="849"/>
      <c r="BB71" s="689">
        <f t="shared" ref="BB71:BB90" si="96">BN11</f>
        <v>0</v>
      </c>
      <c r="BC71" s="689"/>
      <c r="BD71" s="32" t="str">
        <f t="shared" ref="BD71:BD90" si="97">BP11</f>
        <v>PI</v>
      </c>
      <c r="BE71" s="259"/>
      <c r="BF71" s="173"/>
      <c r="BG71" s="173"/>
      <c r="BH71" s="173"/>
      <c r="BI71" s="173"/>
      <c r="BJ71" s="173"/>
      <c r="BK71" s="173"/>
      <c r="BL71" s="173"/>
      <c r="BM71" s="173"/>
      <c r="BR71" s="173"/>
      <c r="BS71"/>
      <c r="CD71" s="149"/>
    </row>
    <row r="72" spans="2:82" ht="25.5" customHeight="1" thickTop="1" thickBot="1" x14ac:dyDescent="0.3">
      <c r="B72" s="689">
        <f>B12</f>
        <v>0</v>
      </c>
      <c r="C72" s="689"/>
      <c r="D72" s="32" t="str">
        <f>D12</f>
        <v>Co PI</v>
      </c>
      <c r="E72" s="259"/>
      <c r="F72" s="803"/>
      <c r="G72" s="804"/>
      <c r="H72" s="804"/>
      <c r="I72" s="804"/>
      <c r="J72" s="804"/>
      <c r="K72" s="804"/>
      <c r="L72" s="804"/>
      <c r="M72" s="804"/>
      <c r="N72" s="804"/>
      <c r="O72" s="804"/>
      <c r="P72" s="804"/>
      <c r="Q72" s="804"/>
      <c r="R72" s="804"/>
      <c r="S72" s="804"/>
      <c r="T72" s="804"/>
      <c r="U72" s="804"/>
      <c r="V72" s="804"/>
      <c r="W72" s="804"/>
      <c r="X72" s="804"/>
      <c r="Y72" s="804"/>
      <c r="Z72" s="804"/>
      <c r="AA72" s="804"/>
      <c r="AB72" s="804"/>
      <c r="AC72" s="804"/>
      <c r="AD72" s="557">
        <f t="shared" si="93"/>
        <v>0</v>
      </c>
      <c r="AE72" s="557">
        <f t="shared" si="93"/>
        <v>0</v>
      </c>
      <c r="AF72" s="557">
        <f t="shared" si="93"/>
        <v>0</v>
      </c>
      <c r="AG72" s="557">
        <f t="shared" si="93"/>
        <v>0</v>
      </c>
      <c r="AH72" s="557">
        <f t="shared" si="93"/>
        <v>0</v>
      </c>
      <c r="AI72" s="557">
        <f t="shared" si="93"/>
        <v>0</v>
      </c>
      <c r="AJ72" s="557">
        <f t="shared" si="93"/>
        <v>0</v>
      </c>
      <c r="AK72" s="557">
        <f t="shared" si="93"/>
        <v>0</v>
      </c>
      <c r="AL72" s="557">
        <f t="shared" si="93"/>
        <v>0</v>
      </c>
      <c r="AM72" s="557">
        <f t="shared" si="93"/>
        <v>0</v>
      </c>
      <c r="AN72" s="558">
        <f t="shared" ref="AN72:AN90" si="98">SUM(AD72:AM72)</f>
        <v>0</v>
      </c>
      <c r="AO72" s="512">
        <f t="shared" si="94"/>
        <v>0</v>
      </c>
      <c r="AP72" s="599">
        <f t="shared" ref="AP72:AY72" si="99">ROUND($BE72*AP12,0)</f>
        <v>0</v>
      </c>
      <c r="AQ72" s="600">
        <f t="shared" si="99"/>
        <v>0</v>
      </c>
      <c r="AR72" s="600">
        <f t="shared" si="99"/>
        <v>0</v>
      </c>
      <c r="AS72" s="600">
        <f t="shared" si="99"/>
        <v>0</v>
      </c>
      <c r="AT72" s="600">
        <f t="shared" si="99"/>
        <v>0</v>
      </c>
      <c r="AU72" s="600">
        <f t="shared" si="99"/>
        <v>0</v>
      </c>
      <c r="AV72" s="600">
        <f t="shared" si="99"/>
        <v>0</v>
      </c>
      <c r="AW72" s="600">
        <f t="shared" si="99"/>
        <v>0</v>
      </c>
      <c r="AX72" s="600">
        <f t="shared" si="99"/>
        <v>0</v>
      </c>
      <c r="AY72" s="600">
        <f t="shared" si="99"/>
        <v>0</v>
      </c>
      <c r="AZ72" s="601">
        <f t="shared" ref="AZ72:AZ90" si="100">SUM(AP72:AY72)</f>
        <v>0</v>
      </c>
      <c r="BA72" s="849"/>
      <c r="BB72" s="689">
        <f t="shared" si="96"/>
        <v>0</v>
      </c>
      <c r="BC72" s="689"/>
      <c r="BD72" s="32" t="str">
        <f t="shared" si="97"/>
        <v>Co PI</v>
      </c>
      <c r="BE72" s="259"/>
      <c r="BF72" s="173"/>
      <c r="BG72" s="173"/>
      <c r="BH72" s="173"/>
      <c r="BI72" s="173"/>
      <c r="BJ72" s="173"/>
      <c r="BK72" s="173"/>
      <c r="BL72" s="173"/>
      <c r="BM72" s="173"/>
      <c r="BR72" s="173"/>
      <c r="BS72"/>
      <c r="CD72" s="149"/>
    </row>
    <row r="73" spans="2:82" ht="25.5" customHeight="1" thickTop="1" thickBot="1" x14ac:dyDescent="0.3">
      <c r="B73" s="689">
        <f>B13</f>
        <v>0</v>
      </c>
      <c r="C73" s="689"/>
      <c r="D73" s="32" t="str">
        <f t="shared" ref="D73:D87" si="101">D13</f>
        <v>Co PI</v>
      </c>
      <c r="E73" s="259"/>
      <c r="F73" s="803"/>
      <c r="G73" s="804"/>
      <c r="H73" s="804"/>
      <c r="I73" s="804"/>
      <c r="J73" s="804"/>
      <c r="K73" s="804"/>
      <c r="L73" s="804"/>
      <c r="M73" s="804"/>
      <c r="N73" s="804"/>
      <c r="O73" s="804"/>
      <c r="P73" s="804"/>
      <c r="Q73" s="804"/>
      <c r="R73" s="804"/>
      <c r="S73" s="804"/>
      <c r="T73" s="804"/>
      <c r="U73" s="804"/>
      <c r="V73" s="804"/>
      <c r="W73" s="804"/>
      <c r="X73" s="804"/>
      <c r="Y73" s="804"/>
      <c r="Z73" s="804"/>
      <c r="AA73" s="804"/>
      <c r="AB73" s="804"/>
      <c r="AC73" s="804"/>
      <c r="AD73" s="557">
        <f t="shared" si="93"/>
        <v>0</v>
      </c>
      <c r="AE73" s="557">
        <f t="shared" si="93"/>
        <v>0</v>
      </c>
      <c r="AF73" s="557">
        <f t="shared" si="93"/>
        <v>0</v>
      </c>
      <c r="AG73" s="557">
        <f t="shared" si="93"/>
        <v>0</v>
      </c>
      <c r="AH73" s="557">
        <f t="shared" si="93"/>
        <v>0</v>
      </c>
      <c r="AI73" s="557">
        <f t="shared" si="93"/>
        <v>0</v>
      </c>
      <c r="AJ73" s="557">
        <f t="shared" si="93"/>
        <v>0</v>
      </c>
      <c r="AK73" s="557">
        <f t="shared" si="93"/>
        <v>0</v>
      </c>
      <c r="AL73" s="557">
        <f t="shared" si="93"/>
        <v>0</v>
      </c>
      <c r="AM73" s="557">
        <f t="shared" si="93"/>
        <v>0</v>
      </c>
      <c r="AN73" s="558">
        <f t="shared" si="98"/>
        <v>0</v>
      </c>
      <c r="AO73" s="512">
        <f t="shared" si="94"/>
        <v>0</v>
      </c>
      <c r="AP73" s="599">
        <f t="shared" ref="AP73:AY73" si="102">ROUND($BE73*AP13,0)</f>
        <v>0</v>
      </c>
      <c r="AQ73" s="600">
        <f t="shared" si="102"/>
        <v>0</v>
      </c>
      <c r="AR73" s="600">
        <f t="shared" si="102"/>
        <v>0</v>
      </c>
      <c r="AS73" s="600">
        <f t="shared" si="102"/>
        <v>0</v>
      </c>
      <c r="AT73" s="600">
        <f t="shared" si="102"/>
        <v>0</v>
      </c>
      <c r="AU73" s="600">
        <f t="shared" si="102"/>
        <v>0</v>
      </c>
      <c r="AV73" s="600">
        <f t="shared" si="102"/>
        <v>0</v>
      </c>
      <c r="AW73" s="600">
        <f t="shared" si="102"/>
        <v>0</v>
      </c>
      <c r="AX73" s="600">
        <f t="shared" si="102"/>
        <v>0</v>
      </c>
      <c r="AY73" s="600">
        <f t="shared" si="102"/>
        <v>0</v>
      </c>
      <c r="AZ73" s="601">
        <f t="shared" si="100"/>
        <v>0</v>
      </c>
      <c r="BA73" s="849"/>
      <c r="BB73" s="689">
        <f t="shared" si="96"/>
        <v>0</v>
      </c>
      <c r="BC73" s="689"/>
      <c r="BD73" s="32" t="str">
        <f t="shared" si="97"/>
        <v>Co PI</v>
      </c>
      <c r="BE73" s="259"/>
      <c r="BF73" s="173"/>
      <c r="BG73" s="173"/>
      <c r="BH73" s="173"/>
      <c r="BI73" s="173"/>
      <c r="BJ73" s="173"/>
      <c r="BK73" s="173"/>
      <c r="BL73" s="173"/>
      <c r="BM73" s="173"/>
      <c r="BR73" s="173"/>
      <c r="BS73"/>
      <c r="CD73" s="149"/>
    </row>
    <row r="74" spans="2:82" ht="25.5" customHeight="1" thickTop="1" thickBot="1" x14ac:dyDescent="0.3">
      <c r="B74" s="689">
        <f t="shared" ref="B74:B87" si="103">B14</f>
        <v>0</v>
      </c>
      <c r="C74" s="689"/>
      <c r="D74" s="32" t="str">
        <f t="shared" si="101"/>
        <v>Co PI</v>
      </c>
      <c r="E74" s="259"/>
      <c r="F74" s="803"/>
      <c r="G74" s="804"/>
      <c r="H74" s="804"/>
      <c r="I74" s="804"/>
      <c r="J74" s="804"/>
      <c r="K74" s="804"/>
      <c r="L74" s="804"/>
      <c r="M74" s="804"/>
      <c r="N74" s="804"/>
      <c r="O74" s="804"/>
      <c r="P74" s="804"/>
      <c r="Q74" s="804"/>
      <c r="R74" s="804"/>
      <c r="S74" s="804"/>
      <c r="T74" s="804"/>
      <c r="U74" s="804"/>
      <c r="V74" s="804"/>
      <c r="W74" s="804"/>
      <c r="X74" s="804"/>
      <c r="Y74" s="804"/>
      <c r="Z74" s="804"/>
      <c r="AA74" s="804"/>
      <c r="AB74" s="804"/>
      <c r="AC74" s="804"/>
      <c r="AD74" s="557">
        <f t="shared" ref="AD74:AM87" si="104">ROUND($E74*AD14,0)</f>
        <v>0</v>
      </c>
      <c r="AE74" s="557">
        <f t="shared" si="104"/>
        <v>0</v>
      </c>
      <c r="AF74" s="557">
        <f t="shared" si="104"/>
        <v>0</v>
      </c>
      <c r="AG74" s="557">
        <f t="shared" si="104"/>
        <v>0</v>
      </c>
      <c r="AH74" s="557">
        <f t="shared" si="104"/>
        <v>0</v>
      </c>
      <c r="AI74" s="557">
        <f t="shared" si="104"/>
        <v>0</v>
      </c>
      <c r="AJ74" s="557">
        <f t="shared" si="104"/>
        <v>0</v>
      </c>
      <c r="AK74" s="557">
        <f t="shared" si="104"/>
        <v>0</v>
      </c>
      <c r="AL74" s="557">
        <f t="shared" si="104"/>
        <v>0</v>
      </c>
      <c r="AM74" s="557">
        <f t="shared" si="104"/>
        <v>0</v>
      </c>
      <c r="AN74" s="558">
        <f t="shared" si="98"/>
        <v>0</v>
      </c>
      <c r="AO74" s="512">
        <f t="shared" si="94"/>
        <v>0</v>
      </c>
      <c r="AP74" s="599">
        <f t="shared" ref="AP74:AY74" si="105">ROUND($BE74*AP14,0)</f>
        <v>0</v>
      </c>
      <c r="AQ74" s="600">
        <f t="shared" si="105"/>
        <v>0</v>
      </c>
      <c r="AR74" s="600">
        <f t="shared" si="105"/>
        <v>0</v>
      </c>
      <c r="AS74" s="600">
        <f t="shared" si="105"/>
        <v>0</v>
      </c>
      <c r="AT74" s="600">
        <f t="shared" si="105"/>
        <v>0</v>
      </c>
      <c r="AU74" s="600">
        <f t="shared" si="105"/>
        <v>0</v>
      </c>
      <c r="AV74" s="600">
        <f t="shared" si="105"/>
        <v>0</v>
      </c>
      <c r="AW74" s="600">
        <f t="shared" si="105"/>
        <v>0</v>
      </c>
      <c r="AX74" s="600">
        <f t="shared" si="105"/>
        <v>0</v>
      </c>
      <c r="AY74" s="600">
        <f t="shared" si="105"/>
        <v>0</v>
      </c>
      <c r="AZ74" s="601">
        <f t="shared" si="100"/>
        <v>0</v>
      </c>
      <c r="BA74" s="849"/>
      <c r="BB74" s="689">
        <f t="shared" si="96"/>
        <v>0</v>
      </c>
      <c r="BC74" s="689"/>
      <c r="BD74" s="32" t="str">
        <f t="shared" si="97"/>
        <v>Senior Personnel</v>
      </c>
      <c r="BE74" s="259"/>
      <c r="BF74" s="173"/>
      <c r="BG74" s="173"/>
      <c r="BH74" s="173"/>
      <c r="BI74" s="173"/>
      <c r="BJ74" s="173"/>
      <c r="BK74" s="173"/>
      <c r="BL74" s="173"/>
      <c r="BM74" s="173"/>
      <c r="BR74" s="173"/>
      <c r="BS74"/>
      <c r="CD74" s="149"/>
    </row>
    <row r="75" spans="2:82" ht="25.5" customHeight="1" thickTop="1" thickBot="1" x14ac:dyDescent="0.3">
      <c r="B75" s="689">
        <f t="shared" si="103"/>
        <v>0</v>
      </c>
      <c r="C75" s="689"/>
      <c r="D75" s="32" t="str">
        <f t="shared" si="101"/>
        <v>Co PI</v>
      </c>
      <c r="E75" s="259"/>
      <c r="F75" s="803"/>
      <c r="G75" s="804"/>
      <c r="H75" s="804"/>
      <c r="I75" s="804"/>
      <c r="J75" s="804"/>
      <c r="K75" s="804"/>
      <c r="L75" s="804"/>
      <c r="M75" s="804"/>
      <c r="N75" s="804"/>
      <c r="O75" s="804"/>
      <c r="P75" s="804"/>
      <c r="Q75" s="804"/>
      <c r="R75" s="804"/>
      <c r="S75" s="804"/>
      <c r="T75" s="804"/>
      <c r="U75" s="804"/>
      <c r="V75" s="804"/>
      <c r="W75" s="804"/>
      <c r="X75" s="804"/>
      <c r="Y75" s="804"/>
      <c r="Z75" s="804"/>
      <c r="AA75" s="804"/>
      <c r="AB75" s="804"/>
      <c r="AC75" s="804"/>
      <c r="AD75" s="557">
        <f t="shared" si="104"/>
        <v>0</v>
      </c>
      <c r="AE75" s="557">
        <f t="shared" si="104"/>
        <v>0</v>
      </c>
      <c r="AF75" s="557">
        <f t="shared" si="104"/>
        <v>0</v>
      </c>
      <c r="AG75" s="557">
        <f t="shared" si="104"/>
        <v>0</v>
      </c>
      <c r="AH75" s="557">
        <f t="shared" si="104"/>
        <v>0</v>
      </c>
      <c r="AI75" s="557">
        <f t="shared" si="104"/>
        <v>0</v>
      </c>
      <c r="AJ75" s="557">
        <f t="shared" si="104"/>
        <v>0</v>
      </c>
      <c r="AK75" s="557">
        <f t="shared" si="104"/>
        <v>0</v>
      </c>
      <c r="AL75" s="557">
        <f t="shared" si="104"/>
        <v>0</v>
      </c>
      <c r="AM75" s="557">
        <f t="shared" si="104"/>
        <v>0</v>
      </c>
      <c r="AN75" s="558">
        <f t="shared" si="98"/>
        <v>0</v>
      </c>
      <c r="AO75" s="512">
        <f t="shared" si="94"/>
        <v>0</v>
      </c>
      <c r="AP75" s="599">
        <f t="shared" ref="AP75:AY75" si="106">ROUND($BE75*AP15,0)</f>
        <v>0</v>
      </c>
      <c r="AQ75" s="600">
        <f t="shared" si="106"/>
        <v>0</v>
      </c>
      <c r="AR75" s="600">
        <f t="shared" si="106"/>
        <v>0</v>
      </c>
      <c r="AS75" s="600">
        <f t="shared" si="106"/>
        <v>0</v>
      </c>
      <c r="AT75" s="600">
        <f t="shared" si="106"/>
        <v>0</v>
      </c>
      <c r="AU75" s="600">
        <f t="shared" si="106"/>
        <v>0</v>
      </c>
      <c r="AV75" s="600">
        <f t="shared" si="106"/>
        <v>0</v>
      </c>
      <c r="AW75" s="600">
        <f t="shared" si="106"/>
        <v>0</v>
      </c>
      <c r="AX75" s="600">
        <f t="shared" si="106"/>
        <v>0</v>
      </c>
      <c r="AY75" s="600">
        <f t="shared" si="106"/>
        <v>0</v>
      </c>
      <c r="AZ75" s="601">
        <f t="shared" si="100"/>
        <v>0</v>
      </c>
      <c r="BA75" s="849"/>
      <c r="BB75" s="689">
        <f t="shared" si="96"/>
        <v>0</v>
      </c>
      <c r="BC75" s="689"/>
      <c r="BD75" s="32" t="str">
        <f t="shared" si="97"/>
        <v>Senior Personnel</v>
      </c>
      <c r="BE75" s="259"/>
      <c r="BF75" s="173"/>
      <c r="BG75" s="173"/>
      <c r="BH75" s="173"/>
      <c r="BI75" s="173"/>
      <c r="BJ75" s="173"/>
      <c r="BK75" s="173"/>
      <c r="BL75" s="173"/>
      <c r="BM75" s="173"/>
      <c r="BR75" s="173"/>
      <c r="BS75"/>
      <c r="CD75" s="149"/>
    </row>
    <row r="76" spans="2:82" ht="25.5" customHeight="1" thickTop="1" thickBot="1" x14ac:dyDescent="0.3">
      <c r="B76" s="689">
        <f t="shared" si="103"/>
        <v>0</v>
      </c>
      <c r="C76" s="689"/>
      <c r="D76" s="32" t="str">
        <f t="shared" si="101"/>
        <v>Senior Personnel</v>
      </c>
      <c r="E76" s="259"/>
      <c r="F76" s="803"/>
      <c r="G76" s="804"/>
      <c r="H76" s="804"/>
      <c r="I76" s="804"/>
      <c r="J76" s="804"/>
      <c r="K76" s="804"/>
      <c r="L76" s="804"/>
      <c r="M76" s="804"/>
      <c r="N76" s="804"/>
      <c r="O76" s="804"/>
      <c r="P76" s="804"/>
      <c r="Q76" s="804"/>
      <c r="R76" s="804"/>
      <c r="S76" s="804"/>
      <c r="T76" s="804"/>
      <c r="U76" s="804"/>
      <c r="V76" s="804"/>
      <c r="W76" s="804"/>
      <c r="X76" s="804"/>
      <c r="Y76" s="804"/>
      <c r="Z76" s="804"/>
      <c r="AA76" s="804"/>
      <c r="AB76" s="804"/>
      <c r="AC76" s="804"/>
      <c r="AD76" s="557">
        <f t="shared" si="104"/>
        <v>0</v>
      </c>
      <c r="AE76" s="557">
        <f t="shared" si="104"/>
        <v>0</v>
      </c>
      <c r="AF76" s="557">
        <f t="shared" si="104"/>
        <v>0</v>
      </c>
      <c r="AG76" s="557">
        <f t="shared" si="104"/>
        <v>0</v>
      </c>
      <c r="AH76" s="557">
        <f t="shared" si="104"/>
        <v>0</v>
      </c>
      <c r="AI76" s="557">
        <f t="shared" si="104"/>
        <v>0</v>
      </c>
      <c r="AJ76" s="557">
        <f t="shared" si="104"/>
        <v>0</v>
      </c>
      <c r="AK76" s="557">
        <f t="shared" si="104"/>
        <v>0</v>
      </c>
      <c r="AL76" s="557">
        <f t="shared" si="104"/>
        <v>0</v>
      </c>
      <c r="AM76" s="557">
        <f t="shared" si="104"/>
        <v>0</v>
      </c>
      <c r="AN76" s="558">
        <f t="shared" si="98"/>
        <v>0</v>
      </c>
      <c r="AO76" s="512">
        <f t="shared" si="94"/>
        <v>0</v>
      </c>
      <c r="AP76" s="599">
        <f t="shared" ref="AP76:AY76" si="107">ROUND($BE76*AP16,0)</f>
        <v>0</v>
      </c>
      <c r="AQ76" s="600">
        <f t="shared" si="107"/>
        <v>0</v>
      </c>
      <c r="AR76" s="600">
        <f t="shared" si="107"/>
        <v>0</v>
      </c>
      <c r="AS76" s="600">
        <f t="shared" si="107"/>
        <v>0</v>
      </c>
      <c r="AT76" s="600">
        <f t="shared" si="107"/>
        <v>0</v>
      </c>
      <c r="AU76" s="600">
        <f t="shared" si="107"/>
        <v>0</v>
      </c>
      <c r="AV76" s="600">
        <f t="shared" si="107"/>
        <v>0</v>
      </c>
      <c r="AW76" s="600">
        <f t="shared" si="107"/>
        <v>0</v>
      </c>
      <c r="AX76" s="600">
        <f t="shared" si="107"/>
        <v>0</v>
      </c>
      <c r="AY76" s="600">
        <f t="shared" si="107"/>
        <v>0</v>
      </c>
      <c r="AZ76" s="601">
        <f t="shared" si="100"/>
        <v>0</v>
      </c>
      <c r="BA76" s="849"/>
      <c r="BB76" s="689">
        <f t="shared" si="96"/>
        <v>0</v>
      </c>
      <c r="BC76" s="689"/>
      <c r="BD76" s="32" t="str">
        <f t="shared" si="97"/>
        <v>Senior Personnel</v>
      </c>
      <c r="BE76" s="259"/>
      <c r="BF76" s="173"/>
      <c r="BG76" s="173"/>
      <c r="BH76" s="173"/>
      <c r="BI76" s="173"/>
      <c r="BJ76" s="173"/>
      <c r="BK76" s="173"/>
      <c r="BL76" s="173"/>
      <c r="BM76" s="173"/>
      <c r="BR76" s="173"/>
      <c r="BS76"/>
      <c r="CD76" s="149"/>
    </row>
    <row r="77" spans="2:82" ht="25.5" customHeight="1" thickTop="1" thickBot="1" x14ac:dyDescent="0.3">
      <c r="B77" s="689">
        <f t="shared" si="103"/>
        <v>0</v>
      </c>
      <c r="C77" s="689"/>
      <c r="D77" s="32" t="str">
        <f t="shared" si="101"/>
        <v>Senior Personnel</v>
      </c>
      <c r="E77" s="259"/>
      <c r="F77" s="803"/>
      <c r="G77" s="804"/>
      <c r="H77" s="804"/>
      <c r="I77" s="804"/>
      <c r="J77" s="804"/>
      <c r="K77" s="804"/>
      <c r="L77" s="804"/>
      <c r="M77" s="804"/>
      <c r="N77" s="804"/>
      <c r="O77" s="804"/>
      <c r="P77" s="804"/>
      <c r="Q77" s="804"/>
      <c r="R77" s="804"/>
      <c r="S77" s="804"/>
      <c r="T77" s="804"/>
      <c r="U77" s="804"/>
      <c r="V77" s="804"/>
      <c r="W77" s="804"/>
      <c r="X77" s="804"/>
      <c r="Y77" s="804"/>
      <c r="Z77" s="804"/>
      <c r="AA77" s="804"/>
      <c r="AB77" s="804"/>
      <c r="AC77" s="804"/>
      <c r="AD77" s="557">
        <f t="shared" si="104"/>
        <v>0</v>
      </c>
      <c r="AE77" s="557">
        <f t="shared" si="104"/>
        <v>0</v>
      </c>
      <c r="AF77" s="557">
        <f t="shared" si="104"/>
        <v>0</v>
      </c>
      <c r="AG77" s="557">
        <f t="shared" si="104"/>
        <v>0</v>
      </c>
      <c r="AH77" s="557">
        <f t="shared" si="104"/>
        <v>0</v>
      </c>
      <c r="AI77" s="557">
        <f t="shared" si="104"/>
        <v>0</v>
      </c>
      <c r="AJ77" s="557">
        <f t="shared" si="104"/>
        <v>0</v>
      </c>
      <c r="AK77" s="557">
        <f t="shared" si="104"/>
        <v>0</v>
      </c>
      <c r="AL77" s="557">
        <f t="shared" si="104"/>
        <v>0</v>
      </c>
      <c r="AM77" s="557">
        <f t="shared" si="104"/>
        <v>0</v>
      </c>
      <c r="AN77" s="558">
        <f t="shared" si="98"/>
        <v>0</v>
      </c>
      <c r="AO77" s="512">
        <f t="shared" si="94"/>
        <v>0</v>
      </c>
      <c r="AP77" s="599">
        <f t="shared" ref="AP77:AY77" si="108">ROUND($BE77*AP17,0)</f>
        <v>0</v>
      </c>
      <c r="AQ77" s="600">
        <f t="shared" si="108"/>
        <v>0</v>
      </c>
      <c r="AR77" s="600">
        <f t="shared" si="108"/>
        <v>0</v>
      </c>
      <c r="AS77" s="600">
        <f t="shared" si="108"/>
        <v>0</v>
      </c>
      <c r="AT77" s="600">
        <f t="shared" si="108"/>
        <v>0</v>
      </c>
      <c r="AU77" s="600">
        <f t="shared" si="108"/>
        <v>0</v>
      </c>
      <c r="AV77" s="600">
        <f t="shared" si="108"/>
        <v>0</v>
      </c>
      <c r="AW77" s="600">
        <f t="shared" si="108"/>
        <v>0</v>
      </c>
      <c r="AX77" s="600">
        <f t="shared" si="108"/>
        <v>0</v>
      </c>
      <c r="AY77" s="600">
        <f t="shared" si="108"/>
        <v>0</v>
      </c>
      <c r="AZ77" s="601">
        <f t="shared" si="100"/>
        <v>0</v>
      </c>
      <c r="BA77" s="849"/>
      <c r="BB77" s="689">
        <f t="shared" si="96"/>
        <v>0</v>
      </c>
      <c r="BC77" s="689"/>
      <c r="BD77" s="32" t="str">
        <f t="shared" si="97"/>
        <v>Senior Personnel</v>
      </c>
      <c r="BE77" s="259"/>
      <c r="BF77" s="173"/>
      <c r="BG77" s="173"/>
      <c r="BH77" s="173"/>
      <c r="BI77" s="173"/>
      <c r="BJ77" s="173"/>
      <c r="BK77" s="173"/>
      <c r="BL77" s="173"/>
      <c r="BM77" s="173"/>
      <c r="BR77" s="173"/>
      <c r="BS77"/>
      <c r="CD77" s="149"/>
    </row>
    <row r="78" spans="2:82" ht="25.5" customHeight="1" thickTop="1" thickBot="1" x14ac:dyDescent="0.3">
      <c r="B78" s="689">
        <f t="shared" si="103"/>
        <v>0</v>
      </c>
      <c r="C78" s="689"/>
      <c r="D78" s="32" t="str">
        <f t="shared" si="101"/>
        <v>Senior Personnel</v>
      </c>
      <c r="E78" s="259"/>
      <c r="F78" s="803"/>
      <c r="G78" s="804"/>
      <c r="H78" s="804"/>
      <c r="I78" s="804"/>
      <c r="J78" s="804"/>
      <c r="K78" s="804"/>
      <c r="L78" s="804"/>
      <c r="M78" s="804"/>
      <c r="N78" s="804"/>
      <c r="O78" s="804"/>
      <c r="P78" s="804"/>
      <c r="Q78" s="804"/>
      <c r="R78" s="804"/>
      <c r="S78" s="804"/>
      <c r="T78" s="804"/>
      <c r="U78" s="804"/>
      <c r="V78" s="804"/>
      <c r="W78" s="804"/>
      <c r="X78" s="804"/>
      <c r="Y78" s="804"/>
      <c r="Z78" s="804"/>
      <c r="AA78" s="804"/>
      <c r="AB78" s="804"/>
      <c r="AC78" s="804"/>
      <c r="AD78" s="557">
        <f t="shared" si="104"/>
        <v>0</v>
      </c>
      <c r="AE78" s="557">
        <f t="shared" si="104"/>
        <v>0</v>
      </c>
      <c r="AF78" s="557">
        <f t="shared" si="104"/>
        <v>0</v>
      </c>
      <c r="AG78" s="557">
        <f t="shared" si="104"/>
        <v>0</v>
      </c>
      <c r="AH78" s="557">
        <f t="shared" si="104"/>
        <v>0</v>
      </c>
      <c r="AI78" s="557">
        <f t="shared" si="104"/>
        <v>0</v>
      </c>
      <c r="AJ78" s="557">
        <f t="shared" si="104"/>
        <v>0</v>
      </c>
      <c r="AK78" s="557">
        <f t="shared" si="104"/>
        <v>0</v>
      </c>
      <c r="AL78" s="557">
        <f t="shared" si="104"/>
        <v>0</v>
      </c>
      <c r="AM78" s="557">
        <f t="shared" si="104"/>
        <v>0</v>
      </c>
      <c r="AN78" s="558">
        <f t="shared" si="98"/>
        <v>0</v>
      </c>
      <c r="AO78" s="512">
        <f t="shared" si="94"/>
        <v>0</v>
      </c>
      <c r="AP78" s="599">
        <f t="shared" ref="AP78:AY78" si="109">ROUND($BE78*AP18,0)</f>
        <v>0</v>
      </c>
      <c r="AQ78" s="600">
        <f t="shared" si="109"/>
        <v>0</v>
      </c>
      <c r="AR78" s="600">
        <f t="shared" si="109"/>
        <v>0</v>
      </c>
      <c r="AS78" s="600">
        <f t="shared" si="109"/>
        <v>0</v>
      </c>
      <c r="AT78" s="600">
        <f t="shared" si="109"/>
        <v>0</v>
      </c>
      <c r="AU78" s="600">
        <f t="shared" si="109"/>
        <v>0</v>
      </c>
      <c r="AV78" s="600">
        <f t="shared" si="109"/>
        <v>0</v>
      </c>
      <c r="AW78" s="600">
        <f t="shared" si="109"/>
        <v>0</v>
      </c>
      <c r="AX78" s="600">
        <f t="shared" si="109"/>
        <v>0</v>
      </c>
      <c r="AY78" s="600">
        <f t="shared" si="109"/>
        <v>0</v>
      </c>
      <c r="AZ78" s="601">
        <f t="shared" si="100"/>
        <v>0</v>
      </c>
      <c r="BA78" s="849"/>
      <c r="BB78" s="689">
        <f t="shared" si="96"/>
        <v>0</v>
      </c>
      <c r="BC78" s="689"/>
      <c r="BD78" s="32" t="str">
        <f t="shared" si="97"/>
        <v>Senior Personnel</v>
      </c>
      <c r="BE78" s="259"/>
      <c r="BF78" s="173"/>
      <c r="BG78" s="173"/>
      <c r="BH78" s="173"/>
      <c r="BI78" s="173"/>
      <c r="BJ78" s="173"/>
      <c r="BK78" s="173"/>
      <c r="BL78" s="173"/>
      <c r="BM78" s="173"/>
      <c r="BR78" s="173"/>
      <c r="BS78"/>
      <c r="CD78" s="149"/>
    </row>
    <row r="79" spans="2:82" ht="25.5" customHeight="1" thickTop="1" thickBot="1" x14ac:dyDescent="0.3">
      <c r="B79" s="689">
        <f t="shared" si="103"/>
        <v>0</v>
      </c>
      <c r="C79" s="689"/>
      <c r="D79" s="32" t="str">
        <f t="shared" si="101"/>
        <v>Senior Personnel</v>
      </c>
      <c r="E79" s="259"/>
      <c r="F79" s="803"/>
      <c r="G79" s="804"/>
      <c r="H79" s="804"/>
      <c r="I79" s="804"/>
      <c r="J79" s="804"/>
      <c r="K79" s="804"/>
      <c r="L79" s="804"/>
      <c r="M79" s="804"/>
      <c r="N79" s="804"/>
      <c r="O79" s="804"/>
      <c r="P79" s="804"/>
      <c r="Q79" s="804"/>
      <c r="R79" s="804"/>
      <c r="S79" s="804"/>
      <c r="T79" s="804"/>
      <c r="U79" s="804"/>
      <c r="V79" s="804"/>
      <c r="W79" s="804"/>
      <c r="X79" s="804"/>
      <c r="Y79" s="804"/>
      <c r="Z79" s="804"/>
      <c r="AA79" s="804"/>
      <c r="AB79" s="804"/>
      <c r="AC79" s="804"/>
      <c r="AD79" s="557">
        <f t="shared" si="104"/>
        <v>0</v>
      </c>
      <c r="AE79" s="557">
        <f t="shared" si="104"/>
        <v>0</v>
      </c>
      <c r="AF79" s="557">
        <f t="shared" si="104"/>
        <v>0</v>
      </c>
      <c r="AG79" s="557">
        <f t="shared" si="104"/>
        <v>0</v>
      </c>
      <c r="AH79" s="557">
        <f t="shared" si="104"/>
        <v>0</v>
      </c>
      <c r="AI79" s="557">
        <f t="shared" si="104"/>
        <v>0</v>
      </c>
      <c r="AJ79" s="557">
        <f t="shared" si="104"/>
        <v>0</v>
      </c>
      <c r="AK79" s="557">
        <f t="shared" si="104"/>
        <v>0</v>
      </c>
      <c r="AL79" s="557">
        <f t="shared" si="104"/>
        <v>0</v>
      </c>
      <c r="AM79" s="557">
        <f t="shared" si="104"/>
        <v>0</v>
      </c>
      <c r="AN79" s="558">
        <f t="shared" si="98"/>
        <v>0</v>
      </c>
      <c r="AO79" s="512">
        <f t="shared" si="94"/>
        <v>0</v>
      </c>
      <c r="AP79" s="599">
        <f t="shared" ref="AP79:AY79" si="110">ROUND($BE79*AP19,0)</f>
        <v>0</v>
      </c>
      <c r="AQ79" s="600">
        <f t="shared" si="110"/>
        <v>0</v>
      </c>
      <c r="AR79" s="600">
        <f t="shared" si="110"/>
        <v>0</v>
      </c>
      <c r="AS79" s="600">
        <f t="shared" si="110"/>
        <v>0</v>
      </c>
      <c r="AT79" s="600">
        <f t="shared" si="110"/>
        <v>0</v>
      </c>
      <c r="AU79" s="600">
        <f t="shared" si="110"/>
        <v>0</v>
      </c>
      <c r="AV79" s="600">
        <f t="shared" si="110"/>
        <v>0</v>
      </c>
      <c r="AW79" s="600">
        <f t="shared" si="110"/>
        <v>0</v>
      </c>
      <c r="AX79" s="600">
        <f t="shared" si="110"/>
        <v>0</v>
      </c>
      <c r="AY79" s="600">
        <f t="shared" si="110"/>
        <v>0</v>
      </c>
      <c r="AZ79" s="601">
        <f t="shared" si="100"/>
        <v>0</v>
      </c>
      <c r="BA79" s="849"/>
      <c r="BB79" s="689">
        <f t="shared" si="96"/>
        <v>0</v>
      </c>
      <c r="BC79" s="689"/>
      <c r="BD79" s="32" t="str">
        <f t="shared" si="97"/>
        <v>Senior Personnel</v>
      </c>
      <c r="BE79" s="259"/>
      <c r="BF79" s="173"/>
      <c r="BG79" s="173"/>
      <c r="BH79" s="173"/>
      <c r="BI79" s="173"/>
      <c r="BJ79" s="173"/>
      <c r="BK79" s="173"/>
      <c r="BL79" s="173"/>
      <c r="BM79" s="173"/>
      <c r="BR79" s="173"/>
      <c r="BS79"/>
      <c r="CD79" s="149"/>
    </row>
    <row r="80" spans="2:82" ht="25.5" customHeight="1" thickTop="1" thickBot="1" x14ac:dyDescent="0.3">
      <c r="B80" s="689">
        <f t="shared" si="103"/>
        <v>0</v>
      </c>
      <c r="C80" s="689"/>
      <c r="D80" s="32" t="str">
        <f t="shared" si="101"/>
        <v>Senior Personnel</v>
      </c>
      <c r="E80" s="259"/>
      <c r="F80" s="803"/>
      <c r="G80" s="804"/>
      <c r="H80" s="804"/>
      <c r="I80" s="804"/>
      <c r="J80" s="804"/>
      <c r="K80" s="804"/>
      <c r="L80" s="804"/>
      <c r="M80" s="804"/>
      <c r="N80" s="804"/>
      <c r="O80" s="804"/>
      <c r="P80" s="804"/>
      <c r="Q80" s="804"/>
      <c r="R80" s="804"/>
      <c r="S80" s="804"/>
      <c r="T80" s="804"/>
      <c r="U80" s="804"/>
      <c r="V80" s="804"/>
      <c r="W80" s="804"/>
      <c r="X80" s="804"/>
      <c r="Y80" s="804"/>
      <c r="Z80" s="804"/>
      <c r="AA80" s="804"/>
      <c r="AB80" s="804"/>
      <c r="AC80" s="804"/>
      <c r="AD80" s="557">
        <f t="shared" si="104"/>
        <v>0</v>
      </c>
      <c r="AE80" s="557">
        <f t="shared" si="104"/>
        <v>0</v>
      </c>
      <c r="AF80" s="557">
        <f t="shared" si="104"/>
        <v>0</v>
      </c>
      <c r="AG80" s="557">
        <f t="shared" si="104"/>
        <v>0</v>
      </c>
      <c r="AH80" s="557">
        <f t="shared" si="104"/>
        <v>0</v>
      </c>
      <c r="AI80" s="557">
        <f t="shared" si="104"/>
        <v>0</v>
      </c>
      <c r="AJ80" s="557">
        <f t="shared" si="104"/>
        <v>0</v>
      </c>
      <c r="AK80" s="557">
        <f t="shared" si="104"/>
        <v>0</v>
      </c>
      <c r="AL80" s="557">
        <f t="shared" si="104"/>
        <v>0</v>
      </c>
      <c r="AM80" s="557">
        <f t="shared" si="104"/>
        <v>0</v>
      </c>
      <c r="AN80" s="558">
        <f t="shared" si="98"/>
        <v>0</v>
      </c>
      <c r="AO80" s="512">
        <f t="shared" si="94"/>
        <v>0</v>
      </c>
      <c r="AP80" s="599">
        <f t="shared" ref="AP80:AY80" si="111">ROUND($BE80*AP20,0)</f>
        <v>0</v>
      </c>
      <c r="AQ80" s="600">
        <f t="shared" si="111"/>
        <v>0</v>
      </c>
      <c r="AR80" s="600">
        <f t="shared" si="111"/>
        <v>0</v>
      </c>
      <c r="AS80" s="600">
        <f t="shared" si="111"/>
        <v>0</v>
      </c>
      <c r="AT80" s="600">
        <f t="shared" si="111"/>
        <v>0</v>
      </c>
      <c r="AU80" s="600">
        <f t="shared" si="111"/>
        <v>0</v>
      </c>
      <c r="AV80" s="600">
        <f t="shared" si="111"/>
        <v>0</v>
      </c>
      <c r="AW80" s="600">
        <f t="shared" si="111"/>
        <v>0</v>
      </c>
      <c r="AX80" s="600">
        <f t="shared" si="111"/>
        <v>0</v>
      </c>
      <c r="AY80" s="600">
        <f t="shared" si="111"/>
        <v>0</v>
      </c>
      <c r="AZ80" s="601">
        <f t="shared" si="100"/>
        <v>0</v>
      </c>
      <c r="BA80" s="849"/>
      <c r="BB80" s="689">
        <f t="shared" si="96"/>
        <v>0</v>
      </c>
      <c r="BC80" s="689"/>
      <c r="BD80" s="32" t="str">
        <f t="shared" si="97"/>
        <v>Senior Personnel</v>
      </c>
      <c r="BE80" s="259"/>
      <c r="BF80" s="173"/>
      <c r="BG80" s="173"/>
      <c r="BH80" s="173"/>
      <c r="BI80" s="173"/>
      <c r="BJ80" s="173"/>
      <c r="BK80" s="173"/>
      <c r="BL80" s="173"/>
      <c r="BM80" s="173"/>
      <c r="BR80" s="173"/>
      <c r="BS80"/>
      <c r="CD80" s="149"/>
    </row>
    <row r="81" spans="2:83" ht="25.5" hidden="1" customHeight="1" outlineLevel="1" thickTop="1" thickBot="1" x14ac:dyDescent="0.3">
      <c r="B81" s="689">
        <f t="shared" si="103"/>
        <v>0</v>
      </c>
      <c r="C81" s="689"/>
      <c r="D81" s="32" t="str">
        <f t="shared" si="101"/>
        <v>Senior Personnel</v>
      </c>
      <c r="E81" s="259"/>
      <c r="F81" s="803"/>
      <c r="G81" s="804"/>
      <c r="H81" s="804"/>
      <c r="I81" s="804"/>
      <c r="J81" s="804"/>
      <c r="K81" s="804"/>
      <c r="L81" s="804"/>
      <c r="M81" s="804"/>
      <c r="N81" s="804"/>
      <c r="O81" s="804"/>
      <c r="P81" s="804"/>
      <c r="Q81" s="804"/>
      <c r="R81" s="804"/>
      <c r="S81" s="804"/>
      <c r="T81" s="804"/>
      <c r="U81" s="804"/>
      <c r="V81" s="804"/>
      <c r="W81" s="804"/>
      <c r="X81" s="804"/>
      <c r="Y81" s="804"/>
      <c r="Z81" s="804"/>
      <c r="AA81" s="804"/>
      <c r="AB81" s="804"/>
      <c r="AC81" s="804"/>
      <c r="AD81" s="557">
        <f t="shared" si="104"/>
        <v>0</v>
      </c>
      <c r="AE81" s="557">
        <f t="shared" si="104"/>
        <v>0</v>
      </c>
      <c r="AF81" s="557">
        <f t="shared" si="104"/>
        <v>0</v>
      </c>
      <c r="AG81" s="557">
        <f t="shared" si="104"/>
        <v>0</v>
      </c>
      <c r="AH81" s="557">
        <f t="shared" si="104"/>
        <v>0</v>
      </c>
      <c r="AI81" s="557">
        <f t="shared" ref="AI81:AM81" si="112">ROUND($E81*AI21,0)</f>
        <v>0</v>
      </c>
      <c r="AJ81" s="557">
        <f t="shared" si="112"/>
        <v>0</v>
      </c>
      <c r="AK81" s="557">
        <f t="shared" si="112"/>
        <v>0</v>
      </c>
      <c r="AL81" s="557">
        <f t="shared" si="112"/>
        <v>0</v>
      </c>
      <c r="AM81" s="557">
        <f t="shared" si="112"/>
        <v>0</v>
      </c>
      <c r="AN81" s="558">
        <f t="shared" si="98"/>
        <v>0</v>
      </c>
      <c r="AO81" s="512">
        <f t="shared" si="94"/>
        <v>0</v>
      </c>
      <c r="AP81" s="599">
        <f t="shared" ref="AP81:AY81" si="113">ROUND($BE81*AP21,0)</f>
        <v>0</v>
      </c>
      <c r="AQ81" s="600">
        <f t="shared" si="113"/>
        <v>0</v>
      </c>
      <c r="AR81" s="600">
        <f t="shared" si="113"/>
        <v>0</v>
      </c>
      <c r="AS81" s="600">
        <f t="shared" si="113"/>
        <v>0</v>
      </c>
      <c r="AT81" s="600">
        <f t="shared" si="113"/>
        <v>0</v>
      </c>
      <c r="AU81" s="600">
        <f t="shared" si="113"/>
        <v>0</v>
      </c>
      <c r="AV81" s="600">
        <f t="shared" si="113"/>
        <v>0</v>
      </c>
      <c r="AW81" s="600">
        <f t="shared" si="113"/>
        <v>0</v>
      </c>
      <c r="AX81" s="600">
        <f t="shared" si="113"/>
        <v>0</v>
      </c>
      <c r="AY81" s="600">
        <f t="shared" si="113"/>
        <v>0</v>
      </c>
      <c r="AZ81" s="601">
        <f t="shared" si="100"/>
        <v>0</v>
      </c>
      <c r="BA81" s="849"/>
      <c r="BB81" s="689">
        <f t="shared" si="96"/>
        <v>0</v>
      </c>
      <c r="BC81" s="689"/>
      <c r="BD81" s="32" t="str">
        <f t="shared" si="97"/>
        <v>Senior Personnel</v>
      </c>
      <c r="BE81" s="259"/>
      <c r="BF81" s="173"/>
      <c r="BG81" s="173"/>
      <c r="BH81" s="173"/>
      <c r="BI81" s="173"/>
      <c r="BJ81" s="173"/>
      <c r="BK81" s="173"/>
      <c r="BL81" s="173"/>
      <c r="BM81" s="173"/>
      <c r="BR81" s="173"/>
      <c r="BS81"/>
      <c r="CD81" s="149"/>
    </row>
    <row r="82" spans="2:83" ht="25.5" hidden="1" customHeight="1" outlineLevel="1" thickTop="1" thickBot="1" x14ac:dyDescent="0.3">
      <c r="B82" s="689">
        <f t="shared" si="103"/>
        <v>0</v>
      </c>
      <c r="C82" s="689"/>
      <c r="D82" s="32" t="str">
        <f t="shared" si="101"/>
        <v>Senior Personnel</v>
      </c>
      <c r="E82" s="259"/>
      <c r="F82" s="803"/>
      <c r="G82" s="804"/>
      <c r="H82" s="804"/>
      <c r="I82" s="804"/>
      <c r="J82" s="804"/>
      <c r="K82" s="804"/>
      <c r="L82" s="804"/>
      <c r="M82" s="804"/>
      <c r="N82" s="804"/>
      <c r="O82" s="804"/>
      <c r="P82" s="804"/>
      <c r="Q82" s="804"/>
      <c r="R82" s="804"/>
      <c r="S82" s="804"/>
      <c r="T82" s="804"/>
      <c r="U82" s="804"/>
      <c r="V82" s="804"/>
      <c r="W82" s="804"/>
      <c r="X82" s="804"/>
      <c r="Y82" s="804"/>
      <c r="Z82" s="804"/>
      <c r="AA82" s="804"/>
      <c r="AB82" s="804"/>
      <c r="AC82" s="804"/>
      <c r="AD82" s="557">
        <f t="shared" si="104"/>
        <v>0</v>
      </c>
      <c r="AE82" s="557">
        <f t="shared" si="104"/>
        <v>0</v>
      </c>
      <c r="AF82" s="557">
        <f t="shared" si="104"/>
        <v>0</v>
      </c>
      <c r="AG82" s="557">
        <f t="shared" si="104"/>
        <v>0</v>
      </c>
      <c r="AH82" s="557">
        <f t="shared" si="104"/>
        <v>0</v>
      </c>
      <c r="AI82" s="557">
        <f t="shared" ref="AI82:AM82" si="114">ROUND($E82*AI22,0)</f>
        <v>0</v>
      </c>
      <c r="AJ82" s="557">
        <f t="shared" si="114"/>
        <v>0</v>
      </c>
      <c r="AK82" s="557">
        <f t="shared" si="114"/>
        <v>0</v>
      </c>
      <c r="AL82" s="557">
        <f t="shared" si="114"/>
        <v>0</v>
      </c>
      <c r="AM82" s="557">
        <f t="shared" si="114"/>
        <v>0</v>
      </c>
      <c r="AN82" s="558">
        <f t="shared" si="98"/>
        <v>0</v>
      </c>
      <c r="AO82" s="512">
        <f t="shared" si="94"/>
        <v>0</v>
      </c>
      <c r="AP82" s="599">
        <f t="shared" ref="AP82:AY82" si="115">ROUND($BE82*AP22,0)</f>
        <v>0</v>
      </c>
      <c r="AQ82" s="600">
        <f t="shared" si="115"/>
        <v>0</v>
      </c>
      <c r="AR82" s="600">
        <f t="shared" si="115"/>
        <v>0</v>
      </c>
      <c r="AS82" s="600">
        <f t="shared" si="115"/>
        <v>0</v>
      </c>
      <c r="AT82" s="600">
        <f t="shared" si="115"/>
        <v>0</v>
      </c>
      <c r="AU82" s="600">
        <f t="shared" si="115"/>
        <v>0</v>
      </c>
      <c r="AV82" s="600">
        <f t="shared" si="115"/>
        <v>0</v>
      </c>
      <c r="AW82" s="600">
        <f t="shared" si="115"/>
        <v>0</v>
      </c>
      <c r="AX82" s="600">
        <f t="shared" si="115"/>
        <v>0</v>
      </c>
      <c r="AY82" s="600">
        <f t="shared" si="115"/>
        <v>0</v>
      </c>
      <c r="AZ82" s="601">
        <f t="shared" si="100"/>
        <v>0</v>
      </c>
      <c r="BA82" s="849"/>
      <c r="BB82" s="689">
        <f t="shared" si="96"/>
        <v>0</v>
      </c>
      <c r="BC82" s="689"/>
      <c r="BD82" s="32" t="str">
        <f t="shared" si="97"/>
        <v>Senior Personnel</v>
      </c>
      <c r="BE82" s="259"/>
      <c r="BF82" s="173"/>
      <c r="BG82" s="173"/>
      <c r="BH82" s="173"/>
      <c r="BI82" s="173"/>
      <c r="BJ82" s="173"/>
      <c r="BK82" s="173"/>
      <c r="BL82" s="173"/>
      <c r="BM82" s="173"/>
      <c r="BR82" s="173"/>
      <c r="BS82"/>
      <c r="CD82" s="149"/>
    </row>
    <row r="83" spans="2:83" ht="25.5" hidden="1" customHeight="1" outlineLevel="1" thickTop="1" thickBot="1" x14ac:dyDescent="0.3">
      <c r="B83" s="689">
        <f t="shared" si="103"/>
        <v>0</v>
      </c>
      <c r="C83" s="689"/>
      <c r="D83" s="32" t="str">
        <f t="shared" si="101"/>
        <v>Senior Personnel</v>
      </c>
      <c r="E83" s="259"/>
      <c r="F83" s="803"/>
      <c r="G83" s="804"/>
      <c r="H83" s="804"/>
      <c r="I83" s="804"/>
      <c r="J83" s="804"/>
      <c r="K83" s="804"/>
      <c r="L83" s="804"/>
      <c r="M83" s="804"/>
      <c r="N83" s="804"/>
      <c r="O83" s="804"/>
      <c r="P83" s="804"/>
      <c r="Q83" s="804"/>
      <c r="R83" s="804"/>
      <c r="S83" s="804"/>
      <c r="T83" s="804"/>
      <c r="U83" s="804"/>
      <c r="V83" s="804"/>
      <c r="W83" s="804"/>
      <c r="X83" s="804"/>
      <c r="Y83" s="804"/>
      <c r="Z83" s="804"/>
      <c r="AA83" s="804"/>
      <c r="AB83" s="804"/>
      <c r="AC83" s="804"/>
      <c r="AD83" s="557">
        <f t="shared" si="104"/>
        <v>0</v>
      </c>
      <c r="AE83" s="557">
        <f t="shared" si="104"/>
        <v>0</v>
      </c>
      <c r="AF83" s="557">
        <f t="shared" si="104"/>
        <v>0</v>
      </c>
      <c r="AG83" s="557">
        <f t="shared" si="104"/>
        <v>0</v>
      </c>
      <c r="AH83" s="557">
        <f t="shared" si="104"/>
        <v>0</v>
      </c>
      <c r="AI83" s="557">
        <f t="shared" ref="AI83:AM83" si="116">ROUND($E83*AI23,0)</f>
        <v>0</v>
      </c>
      <c r="AJ83" s="557">
        <f t="shared" si="116"/>
        <v>0</v>
      </c>
      <c r="AK83" s="557">
        <f t="shared" si="116"/>
        <v>0</v>
      </c>
      <c r="AL83" s="557">
        <f t="shared" si="116"/>
        <v>0</v>
      </c>
      <c r="AM83" s="557">
        <f t="shared" si="116"/>
        <v>0</v>
      </c>
      <c r="AN83" s="558">
        <f t="shared" si="98"/>
        <v>0</v>
      </c>
      <c r="AO83" s="512">
        <f t="shared" si="94"/>
        <v>0</v>
      </c>
      <c r="AP83" s="599">
        <f t="shared" ref="AP83:AY83" si="117">ROUND($BE83*AP23,0)</f>
        <v>0</v>
      </c>
      <c r="AQ83" s="600">
        <f t="shared" si="117"/>
        <v>0</v>
      </c>
      <c r="AR83" s="600">
        <f t="shared" si="117"/>
        <v>0</v>
      </c>
      <c r="AS83" s="600">
        <f t="shared" si="117"/>
        <v>0</v>
      </c>
      <c r="AT83" s="600">
        <f t="shared" si="117"/>
        <v>0</v>
      </c>
      <c r="AU83" s="600">
        <f t="shared" si="117"/>
        <v>0</v>
      </c>
      <c r="AV83" s="600">
        <f t="shared" si="117"/>
        <v>0</v>
      </c>
      <c r="AW83" s="600">
        <f t="shared" si="117"/>
        <v>0</v>
      </c>
      <c r="AX83" s="600">
        <f t="shared" si="117"/>
        <v>0</v>
      </c>
      <c r="AY83" s="600">
        <f t="shared" si="117"/>
        <v>0</v>
      </c>
      <c r="AZ83" s="601">
        <f t="shared" si="100"/>
        <v>0</v>
      </c>
      <c r="BA83" s="849"/>
      <c r="BB83" s="689">
        <f t="shared" si="96"/>
        <v>0</v>
      </c>
      <c r="BC83" s="689"/>
      <c r="BD83" s="32" t="str">
        <f t="shared" si="97"/>
        <v>Senior Personnel</v>
      </c>
      <c r="BE83" s="259"/>
      <c r="BF83" s="173"/>
      <c r="BG83" s="173"/>
      <c r="BH83" s="173"/>
      <c r="BI83" s="173"/>
      <c r="BJ83" s="173"/>
      <c r="BK83" s="173"/>
      <c r="BL83" s="173"/>
      <c r="BM83" s="173"/>
      <c r="BR83" s="173"/>
      <c r="BS83"/>
      <c r="CD83" s="149"/>
    </row>
    <row r="84" spans="2:83" ht="25.5" hidden="1" customHeight="1" outlineLevel="1" thickTop="1" thickBot="1" x14ac:dyDescent="0.3">
      <c r="B84" s="689">
        <f t="shared" si="103"/>
        <v>0</v>
      </c>
      <c r="C84" s="689"/>
      <c r="D84" s="32" t="str">
        <f t="shared" si="101"/>
        <v>Senior Personnel</v>
      </c>
      <c r="E84" s="259"/>
      <c r="F84" s="803"/>
      <c r="G84" s="804"/>
      <c r="H84" s="804"/>
      <c r="I84" s="804"/>
      <c r="J84" s="804"/>
      <c r="K84" s="804"/>
      <c r="L84" s="804"/>
      <c r="M84" s="804"/>
      <c r="N84" s="804"/>
      <c r="O84" s="804"/>
      <c r="P84" s="804"/>
      <c r="Q84" s="804"/>
      <c r="R84" s="804"/>
      <c r="S84" s="804"/>
      <c r="T84" s="804"/>
      <c r="U84" s="804"/>
      <c r="V84" s="804"/>
      <c r="W84" s="804"/>
      <c r="X84" s="804"/>
      <c r="Y84" s="804"/>
      <c r="Z84" s="804"/>
      <c r="AA84" s="804"/>
      <c r="AB84" s="804"/>
      <c r="AC84" s="804"/>
      <c r="AD84" s="557">
        <f t="shared" si="104"/>
        <v>0</v>
      </c>
      <c r="AE84" s="557">
        <f t="shared" si="104"/>
        <v>0</v>
      </c>
      <c r="AF84" s="557">
        <f t="shared" si="104"/>
        <v>0</v>
      </c>
      <c r="AG84" s="557">
        <f t="shared" si="104"/>
        <v>0</v>
      </c>
      <c r="AH84" s="557">
        <f t="shared" si="104"/>
        <v>0</v>
      </c>
      <c r="AI84" s="557">
        <f t="shared" ref="AI84:AM84" si="118">ROUND($E84*AI24,0)</f>
        <v>0</v>
      </c>
      <c r="AJ84" s="557">
        <f t="shared" si="118"/>
        <v>0</v>
      </c>
      <c r="AK84" s="557">
        <f t="shared" si="118"/>
        <v>0</v>
      </c>
      <c r="AL84" s="557">
        <f t="shared" si="118"/>
        <v>0</v>
      </c>
      <c r="AM84" s="557">
        <f t="shared" si="118"/>
        <v>0</v>
      </c>
      <c r="AN84" s="558">
        <f t="shared" si="98"/>
        <v>0</v>
      </c>
      <c r="AO84" s="512">
        <f t="shared" si="94"/>
        <v>0</v>
      </c>
      <c r="AP84" s="599">
        <f t="shared" ref="AP84:AY84" si="119">ROUND($BE84*AP24,0)</f>
        <v>0</v>
      </c>
      <c r="AQ84" s="600">
        <f t="shared" si="119"/>
        <v>0</v>
      </c>
      <c r="AR84" s="600">
        <f t="shared" si="119"/>
        <v>0</v>
      </c>
      <c r="AS84" s="600">
        <f t="shared" si="119"/>
        <v>0</v>
      </c>
      <c r="AT84" s="600">
        <f t="shared" si="119"/>
        <v>0</v>
      </c>
      <c r="AU84" s="600">
        <f t="shared" si="119"/>
        <v>0</v>
      </c>
      <c r="AV84" s="600">
        <f t="shared" si="119"/>
        <v>0</v>
      </c>
      <c r="AW84" s="600">
        <f t="shared" si="119"/>
        <v>0</v>
      </c>
      <c r="AX84" s="600">
        <f t="shared" si="119"/>
        <v>0</v>
      </c>
      <c r="AY84" s="600">
        <f t="shared" si="119"/>
        <v>0</v>
      </c>
      <c r="AZ84" s="601">
        <f t="shared" si="100"/>
        <v>0</v>
      </c>
      <c r="BA84" s="849"/>
      <c r="BB84" s="689">
        <f t="shared" si="96"/>
        <v>0</v>
      </c>
      <c r="BC84" s="689"/>
      <c r="BD84" s="32" t="str">
        <f t="shared" si="97"/>
        <v>Senior Personnel</v>
      </c>
      <c r="BE84" s="259"/>
      <c r="BF84" s="173"/>
      <c r="BG84" s="173"/>
      <c r="BH84" s="173"/>
      <c r="BI84" s="173"/>
      <c r="BJ84" s="173"/>
      <c r="BK84" s="173"/>
      <c r="BL84" s="173"/>
      <c r="BM84" s="173"/>
      <c r="BR84" s="173"/>
      <c r="BS84"/>
      <c r="CD84" s="149"/>
    </row>
    <row r="85" spans="2:83" ht="25.5" hidden="1" customHeight="1" outlineLevel="1" thickTop="1" thickBot="1" x14ac:dyDescent="0.3">
      <c r="B85" s="689">
        <f t="shared" si="103"/>
        <v>0</v>
      </c>
      <c r="C85" s="689"/>
      <c r="D85" s="32" t="str">
        <f t="shared" si="101"/>
        <v>Senior Personnel</v>
      </c>
      <c r="E85" s="259"/>
      <c r="F85" s="803"/>
      <c r="G85" s="804"/>
      <c r="H85" s="804"/>
      <c r="I85" s="804"/>
      <c r="J85" s="804"/>
      <c r="K85" s="804"/>
      <c r="L85" s="804"/>
      <c r="M85" s="804"/>
      <c r="N85" s="804"/>
      <c r="O85" s="804"/>
      <c r="P85" s="804"/>
      <c r="Q85" s="804"/>
      <c r="R85" s="804"/>
      <c r="S85" s="804"/>
      <c r="T85" s="804"/>
      <c r="U85" s="804"/>
      <c r="V85" s="804"/>
      <c r="W85" s="804"/>
      <c r="X85" s="804"/>
      <c r="Y85" s="804"/>
      <c r="Z85" s="804"/>
      <c r="AA85" s="804"/>
      <c r="AB85" s="804"/>
      <c r="AC85" s="804"/>
      <c r="AD85" s="557">
        <f t="shared" si="104"/>
        <v>0</v>
      </c>
      <c r="AE85" s="557">
        <f t="shared" si="104"/>
        <v>0</v>
      </c>
      <c r="AF85" s="557">
        <f t="shared" si="104"/>
        <v>0</v>
      </c>
      <c r="AG85" s="557">
        <f t="shared" si="104"/>
        <v>0</v>
      </c>
      <c r="AH85" s="557">
        <f t="shared" si="104"/>
        <v>0</v>
      </c>
      <c r="AI85" s="557">
        <f t="shared" ref="AI85:AM85" si="120">ROUND($E85*AI25,0)</f>
        <v>0</v>
      </c>
      <c r="AJ85" s="557">
        <f t="shared" si="120"/>
        <v>0</v>
      </c>
      <c r="AK85" s="557">
        <f t="shared" si="120"/>
        <v>0</v>
      </c>
      <c r="AL85" s="557">
        <f t="shared" si="120"/>
        <v>0</v>
      </c>
      <c r="AM85" s="557">
        <f t="shared" si="120"/>
        <v>0</v>
      </c>
      <c r="AN85" s="558">
        <f t="shared" si="98"/>
        <v>0</v>
      </c>
      <c r="AO85" s="512">
        <f t="shared" si="94"/>
        <v>0</v>
      </c>
      <c r="AP85" s="599">
        <f t="shared" ref="AP85:AY85" si="121">ROUND($BE85*AP25,0)</f>
        <v>0</v>
      </c>
      <c r="AQ85" s="600">
        <f t="shared" si="121"/>
        <v>0</v>
      </c>
      <c r="AR85" s="600">
        <f t="shared" si="121"/>
        <v>0</v>
      </c>
      <c r="AS85" s="600">
        <f t="shared" si="121"/>
        <v>0</v>
      </c>
      <c r="AT85" s="600">
        <f t="shared" si="121"/>
        <v>0</v>
      </c>
      <c r="AU85" s="600">
        <f t="shared" si="121"/>
        <v>0</v>
      </c>
      <c r="AV85" s="600">
        <f t="shared" si="121"/>
        <v>0</v>
      </c>
      <c r="AW85" s="600">
        <f t="shared" si="121"/>
        <v>0</v>
      </c>
      <c r="AX85" s="600">
        <f t="shared" si="121"/>
        <v>0</v>
      </c>
      <c r="AY85" s="600">
        <f t="shared" si="121"/>
        <v>0</v>
      </c>
      <c r="AZ85" s="601">
        <f t="shared" si="100"/>
        <v>0</v>
      </c>
      <c r="BA85" s="849"/>
      <c r="BB85" s="689">
        <f t="shared" si="96"/>
        <v>0</v>
      </c>
      <c r="BC85" s="689"/>
      <c r="BD85" s="32" t="str">
        <f t="shared" si="97"/>
        <v>Senior Personnel</v>
      </c>
      <c r="BE85" s="259"/>
      <c r="BF85" s="173"/>
      <c r="BG85" s="173"/>
      <c r="BH85" s="173"/>
      <c r="BI85" s="173"/>
      <c r="BJ85" s="173"/>
      <c r="BK85" s="173"/>
      <c r="BL85" s="173"/>
      <c r="BM85" s="173"/>
      <c r="BR85" s="173"/>
      <c r="BS85"/>
      <c r="CD85" s="149"/>
    </row>
    <row r="86" spans="2:83" ht="25.5" hidden="1" customHeight="1" outlineLevel="1" thickTop="1" thickBot="1" x14ac:dyDescent="0.3">
      <c r="B86" s="689">
        <f t="shared" si="103"/>
        <v>0</v>
      </c>
      <c r="C86" s="689"/>
      <c r="D86" s="32" t="str">
        <f t="shared" si="101"/>
        <v>Senior Personnel</v>
      </c>
      <c r="E86" s="259"/>
      <c r="F86" s="803"/>
      <c r="G86" s="804"/>
      <c r="H86" s="804"/>
      <c r="I86" s="804"/>
      <c r="J86" s="804"/>
      <c r="K86" s="804"/>
      <c r="L86" s="804"/>
      <c r="M86" s="804"/>
      <c r="N86" s="804"/>
      <c r="O86" s="804"/>
      <c r="P86" s="804"/>
      <c r="Q86" s="804"/>
      <c r="R86" s="804"/>
      <c r="S86" s="804"/>
      <c r="T86" s="804"/>
      <c r="U86" s="804"/>
      <c r="V86" s="804"/>
      <c r="W86" s="804"/>
      <c r="X86" s="804"/>
      <c r="Y86" s="804"/>
      <c r="Z86" s="804"/>
      <c r="AA86" s="804"/>
      <c r="AB86" s="804"/>
      <c r="AC86" s="804"/>
      <c r="AD86" s="557">
        <f t="shared" si="104"/>
        <v>0</v>
      </c>
      <c r="AE86" s="557">
        <f t="shared" si="104"/>
        <v>0</v>
      </c>
      <c r="AF86" s="557">
        <f t="shared" si="104"/>
        <v>0</v>
      </c>
      <c r="AG86" s="557">
        <f t="shared" si="104"/>
        <v>0</v>
      </c>
      <c r="AH86" s="557">
        <f t="shared" si="104"/>
        <v>0</v>
      </c>
      <c r="AI86" s="557">
        <f t="shared" ref="AI86:AM86" si="122">ROUND($E86*AI26,0)</f>
        <v>0</v>
      </c>
      <c r="AJ86" s="557">
        <f t="shared" si="122"/>
        <v>0</v>
      </c>
      <c r="AK86" s="557">
        <f t="shared" si="122"/>
        <v>0</v>
      </c>
      <c r="AL86" s="557">
        <f t="shared" si="122"/>
        <v>0</v>
      </c>
      <c r="AM86" s="557">
        <f t="shared" si="122"/>
        <v>0</v>
      </c>
      <c r="AN86" s="558">
        <f t="shared" si="98"/>
        <v>0</v>
      </c>
      <c r="AO86" s="512">
        <f t="shared" si="94"/>
        <v>0</v>
      </c>
      <c r="AP86" s="599">
        <f t="shared" ref="AP86:AY86" si="123">ROUND($BE86*AP26,0)</f>
        <v>0</v>
      </c>
      <c r="AQ86" s="600">
        <f t="shared" si="123"/>
        <v>0</v>
      </c>
      <c r="AR86" s="600">
        <f t="shared" si="123"/>
        <v>0</v>
      </c>
      <c r="AS86" s="600">
        <f t="shared" si="123"/>
        <v>0</v>
      </c>
      <c r="AT86" s="600">
        <f t="shared" si="123"/>
        <v>0</v>
      </c>
      <c r="AU86" s="600">
        <f t="shared" si="123"/>
        <v>0</v>
      </c>
      <c r="AV86" s="600">
        <f t="shared" si="123"/>
        <v>0</v>
      </c>
      <c r="AW86" s="600">
        <f t="shared" si="123"/>
        <v>0</v>
      </c>
      <c r="AX86" s="600">
        <f t="shared" si="123"/>
        <v>0</v>
      </c>
      <c r="AY86" s="600">
        <f t="shared" si="123"/>
        <v>0</v>
      </c>
      <c r="AZ86" s="601">
        <f t="shared" si="100"/>
        <v>0</v>
      </c>
      <c r="BA86" s="849"/>
      <c r="BB86" s="689">
        <f t="shared" si="96"/>
        <v>0</v>
      </c>
      <c r="BC86" s="689"/>
      <c r="BD86" s="32" t="str">
        <f t="shared" si="97"/>
        <v>Senior Personnel</v>
      </c>
      <c r="BE86" s="259"/>
      <c r="BF86" s="173"/>
      <c r="BG86" s="173"/>
      <c r="BH86" s="173"/>
      <c r="BI86" s="173"/>
      <c r="BJ86" s="173"/>
      <c r="BK86" s="173"/>
      <c r="BL86" s="173"/>
      <c r="BM86" s="173"/>
      <c r="BR86" s="173"/>
      <c r="BS86"/>
      <c r="CD86" s="149"/>
    </row>
    <row r="87" spans="2:83" ht="25.5" hidden="1" customHeight="1" outlineLevel="1" thickTop="1" thickBot="1" x14ac:dyDescent="0.3">
      <c r="B87" s="689">
        <f t="shared" si="103"/>
        <v>0</v>
      </c>
      <c r="C87" s="689"/>
      <c r="D87" s="32" t="str">
        <f t="shared" si="101"/>
        <v>Senior Personnel</v>
      </c>
      <c r="E87" s="259"/>
      <c r="F87" s="803"/>
      <c r="G87" s="804"/>
      <c r="H87" s="804"/>
      <c r="I87" s="804"/>
      <c r="J87" s="804"/>
      <c r="K87" s="804"/>
      <c r="L87" s="804"/>
      <c r="M87" s="804"/>
      <c r="N87" s="804"/>
      <c r="O87" s="804"/>
      <c r="P87" s="804"/>
      <c r="Q87" s="804"/>
      <c r="R87" s="804"/>
      <c r="S87" s="804"/>
      <c r="T87" s="804"/>
      <c r="U87" s="804"/>
      <c r="V87" s="804"/>
      <c r="W87" s="804"/>
      <c r="X87" s="804"/>
      <c r="Y87" s="804"/>
      <c r="Z87" s="804"/>
      <c r="AA87" s="804"/>
      <c r="AB87" s="804"/>
      <c r="AC87" s="804"/>
      <c r="AD87" s="557">
        <f t="shared" si="104"/>
        <v>0</v>
      </c>
      <c r="AE87" s="557">
        <f t="shared" si="104"/>
        <v>0</v>
      </c>
      <c r="AF87" s="557">
        <f t="shared" si="104"/>
        <v>0</v>
      </c>
      <c r="AG87" s="557">
        <f t="shared" si="104"/>
        <v>0</v>
      </c>
      <c r="AH87" s="557">
        <f t="shared" si="104"/>
        <v>0</v>
      </c>
      <c r="AI87" s="557">
        <f t="shared" ref="AI87:AM87" si="124">ROUND($E87*AI27,0)</f>
        <v>0</v>
      </c>
      <c r="AJ87" s="557">
        <f t="shared" si="124"/>
        <v>0</v>
      </c>
      <c r="AK87" s="557">
        <f t="shared" si="124"/>
        <v>0</v>
      </c>
      <c r="AL87" s="557">
        <f t="shared" si="124"/>
        <v>0</v>
      </c>
      <c r="AM87" s="557">
        <f t="shared" si="124"/>
        <v>0</v>
      </c>
      <c r="AN87" s="558">
        <f t="shared" si="98"/>
        <v>0</v>
      </c>
      <c r="AO87" s="512">
        <f t="shared" si="94"/>
        <v>0</v>
      </c>
      <c r="AP87" s="599">
        <f t="shared" ref="AP87:AY87" si="125">ROUND($BE87*AP27,0)</f>
        <v>0</v>
      </c>
      <c r="AQ87" s="600">
        <f t="shared" si="125"/>
        <v>0</v>
      </c>
      <c r="AR87" s="600">
        <f t="shared" si="125"/>
        <v>0</v>
      </c>
      <c r="AS87" s="600">
        <f t="shared" si="125"/>
        <v>0</v>
      </c>
      <c r="AT87" s="600">
        <f t="shared" si="125"/>
        <v>0</v>
      </c>
      <c r="AU87" s="600">
        <f t="shared" si="125"/>
        <v>0</v>
      </c>
      <c r="AV87" s="600">
        <f t="shared" si="125"/>
        <v>0</v>
      </c>
      <c r="AW87" s="600">
        <f t="shared" si="125"/>
        <v>0</v>
      </c>
      <c r="AX87" s="600">
        <f t="shared" si="125"/>
        <v>0</v>
      </c>
      <c r="AY87" s="600">
        <f t="shared" si="125"/>
        <v>0</v>
      </c>
      <c r="AZ87" s="601">
        <f t="shared" si="100"/>
        <v>0</v>
      </c>
      <c r="BA87" s="849"/>
      <c r="BB87" s="689">
        <f t="shared" si="96"/>
        <v>0</v>
      </c>
      <c r="BC87" s="689"/>
      <c r="BD87" s="32" t="str">
        <f t="shared" si="97"/>
        <v>Senior Personnel</v>
      </c>
      <c r="BE87" s="259"/>
      <c r="BF87" s="173"/>
      <c r="BG87" s="173"/>
      <c r="BH87" s="173"/>
      <c r="BI87" s="173"/>
      <c r="BJ87" s="173"/>
      <c r="BK87" s="173"/>
      <c r="BL87" s="173"/>
      <c r="BM87" s="173"/>
      <c r="BR87" s="173"/>
      <c r="BS87"/>
      <c r="CD87" s="149"/>
    </row>
    <row r="88" spans="2:83" ht="22.5" hidden="1" customHeight="1" outlineLevel="1" thickTop="1" thickBot="1" x14ac:dyDescent="0.3">
      <c r="B88" s="689">
        <f>B28</f>
        <v>0</v>
      </c>
      <c r="C88" s="689"/>
      <c r="D88" s="32" t="str">
        <f>D28</f>
        <v>Senior Personnel</v>
      </c>
      <c r="E88" s="259"/>
      <c r="F88" s="803"/>
      <c r="G88" s="804"/>
      <c r="H88" s="804"/>
      <c r="I88" s="804"/>
      <c r="J88" s="804"/>
      <c r="K88" s="804"/>
      <c r="L88" s="804"/>
      <c r="M88" s="804"/>
      <c r="N88" s="804"/>
      <c r="O88" s="804"/>
      <c r="P88" s="804"/>
      <c r="Q88" s="804"/>
      <c r="R88" s="804"/>
      <c r="S88" s="804"/>
      <c r="T88" s="804"/>
      <c r="U88" s="804"/>
      <c r="V88" s="804"/>
      <c r="W88" s="804"/>
      <c r="X88" s="804"/>
      <c r="Y88" s="804"/>
      <c r="Z88" s="804"/>
      <c r="AA88" s="804"/>
      <c r="AB88" s="804"/>
      <c r="AC88" s="804"/>
      <c r="AD88" s="557">
        <f t="shared" ref="AD88:AM90" si="126">ROUND($E88*AD28,0)</f>
        <v>0</v>
      </c>
      <c r="AE88" s="557">
        <f t="shared" si="126"/>
        <v>0</v>
      </c>
      <c r="AF88" s="557">
        <f t="shared" si="126"/>
        <v>0</v>
      </c>
      <c r="AG88" s="557">
        <f t="shared" si="126"/>
        <v>0</v>
      </c>
      <c r="AH88" s="557">
        <f t="shared" si="126"/>
        <v>0</v>
      </c>
      <c r="AI88" s="557">
        <f t="shared" si="126"/>
        <v>0</v>
      </c>
      <c r="AJ88" s="557">
        <f t="shared" si="126"/>
        <v>0</v>
      </c>
      <c r="AK88" s="557">
        <f t="shared" si="126"/>
        <v>0</v>
      </c>
      <c r="AL88" s="557">
        <f t="shared" si="126"/>
        <v>0</v>
      </c>
      <c r="AM88" s="557">
        <f t="shared" si="126"/>
        <v>0</v>
      </c>
      <c r="AN88" s="558">
        <f>SUM(AD88:AM88)</f>
        <v>0</v>
      </c>
      <c r="AO88" s="512">
        <f t="shared" si="94"/>
        <v>0</v>
      </c>
      <c r="AP88" s="599">
        <f t="shared" ref="AP88:AY88" si="127">ROUND($BE88*AP28,0)</f>
        <v>0</v>
      </c>
      <c r="AQ88" s="600">
        <f t="shared" si="127"/>
        <v>0</v>
      </c>
      <c r="AR88" s="600">
        <f t="shared" si="127"/>
        <v>0</v>
      </c>
      <c r="AS88" s="600">
        <f t="shared" si="127"/>
        <v>0</v>
      </c>
      <c r="AT88" s="600">
        <f t="shared" si="127"/>
        <v>0</v>
      </c>
      <c r="AU88" s="600">
        <f t="shared" si="127"/>
        <v>0</v>
      </c>
      <c r="AV88" s="600">
        <f t="shared" si="127"/>
        <v>0</v>
      </c>
      <c r="AW88" s="600">
        <f t="shared" si="127"/>
        <v>0</v>
      </c>
      <c r="AX88" s="600">
        <f t="shared" si="127"/>
        <v>0</v>
      </c>
      <c r="AY88" s="600">
        <f t="shared" si="127"/>
        <v>0</v>
      </c>
      <c r="AZ88" s="601">
        <f t="shared" si="100"/>
        <v>0</v>
      </c>
      <c r="BA88" s="849"/>
      <c r="BB88" s="689">
        <f t="shared" si="96"/>
        <v>0</v>
      </c>
      <c r="BC88" s="689"/>
      <c r="BD88" s="32" t="str">
        <f t="shared" si="97"/>
        <v>Senior Personnel</v>
      </c>
      <c r="BE88" s="259"/>
      <c r="BF88" s="173"/>
      <c r="BG88" s="173"/>
      <c r="BH88" s="173"/>
      <c r="BI88" s="173"/>
      <c r="BJ88" s="173"/>
      <c r="BK88" s="173"/>
      <c r="BL88" s="173"/>
      <c r="BM88" s="173"/>
      <c r="BR88" s="173"/>
      <c r="BS88"/>
      <c r="CD88" s="149"/>
    </row>
    <row r="89" spans="2:83" ht="22.5" hidden="1" customHeight="1" outlineLevel="1" thickTop="1" thickBot="1" x14ac:dyDescent="0.3">
      <c r="B89" s="689">
        <f>B29</f>
        <v>0</v>
      </c>
      <c r="C89" s="689"/>
      <c r="D89" s="32" t="str">
        <f>D29</f>
        <v>Senior Personnel</v>
      </c>
      <c r="E89" s="259"/>
      <c r="F89" s="803"/>
      <c r="G89" s="804"/>
      <c r="H89" s="804"/>
      <c r="I89" s="804"/>
      <c r="J89" s="804"/>
      <c r="K89" s="804"/>
      <c r="L89" s="804"/>
      <c r="M89" s="804"/>
      <c r="N89" s="804"/>
      <c r="O89" s="804"/>
      <c r="P89" s="804"/>
      <c r="Q89" s="804"/>
      <c r="R89" s="804"/>
      <c r="S89" s="804"/>
      <c r="T89" s="804"/>
      <c r="U89" s="804"/>
      <c r="V89" s="804"/>
      <c r="W89" s="804"/>
      <c r="X89" s="804"/>
      <c r="Y89" s="804"/>
      <c r="Z89" s="804"/>
      <c r="AA89" s="804"/>
      <c r="AB89" s="804"/>
      <c r="AC89" s="804"/>
      <c r="AD89" s="557">
        <f t="shared" si="126"/>
        <v>0</v>
      </c>
      <c r="AE89" s="557">
        <f t="shared" si="126"/>
        <v>0</v>
      </c>
      <c r="AF89" s="557">
        <f t="shared" si="126"/>
        <v>0</v>
      </c>
      <c r="AG89" s="557">
        <f t="shared" si="126"/>
        <v>0</v>
      </c>
      <c r="AH89" s="557">
        <f t="shared" si="126"/>
        <v>0</v>
      </c>
      <c r="AI89" s="557">
        <f t="shared" si="126"/>
        <v>0</v>
      </c>
      <c r="AJ89" s="557">
        <f t="shared" si="126"/>
        <v>0</v>
      </c>
      <c r="AK89" s="557">
        <f t="shared" si="126"/>
        <v>0</v>
      </c>
      <c r="AL89" s="557">
        <f t="shared" si="126"/>
        <v>0</v>
      </c>
      <c r="AM89" s="557">
        <f t="shared" si="126"/>
        <v>0</v>
      </c>
      <c r="AN89" s="558">
        <f t="shared" si="98"/>
        <v>0</v>
      </c>
      <c r="AO89" s="512">
        <f t="shared" si="94"/>
        <v>0</v>
      </c>
      <c r="AP89" s="599">
        <f t="shared" ref="AP89:AY89" si="128">ROUND($BE89*AP29,0)</f>
        <v>0</v>
      </c>
      <c r="AQ89" s="600">
        <f t="shared" si="128"/>
        <v>0</v>
      </c>
      <c r="AR89" s="600">
        <f t="shared" si="128"/>
        <v>0</v>
      </c>
      <c r="AS89" s="600">
        <f t="shared" si="128"/>
        <v>0</v>
      </c>
      <c r="AT89" s="600">
        <f t="shared" si="128"/>
        <v>0</v>
      </c>
      <c r="AU89" s="600">
        <f t="shared" si="128"/>
        <v>0</v>
      </c>
      <c r="AV89" s="600">
        <f t="shared" si="128"/>
        <v>0</v>
      </c>
      <c r="AW89" s="600">
        <f t="shared" si="128"/>
        <v>0</v>
      </c>
      <c r="AX89" s="600">
        <f t="shared" si="128"/>
        <v>0</v>
      </c>
      <c r="AY89" s="600">
        <f t="shared" si="128"/>
        <v>0</v>
      </c>
      <c r="AZ89" s="601">
        <f t="shared" si="100"/>
        <v>0</v>
      </c>
      <c r="BA89" s="849"/>
      <c r="BB89" s="689">
        <f t="shared" si="96"/>
        <v>0</v>
      </c>
      <c r="BC89" s="689"/>
      <c r="BD89" s="32" t="str">
        <f t="shared" si="97"/>
        <v>Senior Personnel</v>
      </c>
      <c r="BE89" s="259"/>
      <c r="BF89" s="173"/>
      <c r="BG89" s="173"/>
      <c r="BH89" s="173"/>
      <c r="BI89" s="173"/>
      <c r="BJ89" s="173"/>
      <c r="BK89" s="173"/>
      <c r="BL89" s="173"/>
      <c r="BM89" s="173"/>
      <c r="BR89" s="173"/>
      <c r="BS89"/>
      <c r="CD89" s="149"/>
    </row>
    <row r="90" spans="2:83" ht="22.5" hidden="1" customHeight="1" outlineLevel="1" thickTop="1" thickBot="1" x14ac:dyDescent="0.3">
      <c r="B90" s="689">
        <f>B30</f>
        <v>0</v>
      </c>
      <c r="C90" s="689"/>
      <c r="D90" s="32" t="str">
        <f>D30</f>
        <v>Senior Personnel</v>
      </c>
      <c r="E90" s="259"/>
      <c r="F90" s="803"/>
      <c r="G90" s="804"/>
      <c r="H90" s="804"/>
      <c r="I90" s="804"/>
      <c r="J90" s="804"/>
      <c r="K90" s="804"/>
      <c r="L90" s="804"/>
      <c r="M90" s="804"/>
      <c r="N90" s="804"/>
      <c r="O90" s="804"/>
      <c r="P90" s="804"/>
      <c r="Q90" s="804"/>
      <c r="R90" s="804"/>
      <c r="S90" s="804"/>
      <c r="T90" s="804"/>
      <c r="U90" s="804"/>
      <c r="V90" s="804"/>
      <c r="W90" s="804"/>
      <c r="X90" s="804"/>
      <c r="Y90" s="804"/>
      <c r="Z90" s="804"/>
      <c r="AA90" s="804"/>
      <c r="AB90" s="804"/>
      <c r="AC90" s="804"/>
      <c r="AD90" s="557">
        <f t="shared" si="126"/>
        <v>0</v>
      </c>
      <c r="AE90" s="557">
        <f t="shared" si="126"/>
        <v>0</v>
      </c>
      <c r="AF90" s="557">
        <f t="shared" si="126"/>
        <v>0</v>
      </c>
      <c r="AG90" s="557">
        <f t="shared" si="126"/>
        <v>0</v>
      </c>
      <c r="AH90" s="557">
        <f t="shared" si="126"/>
        <v>0</v>
      </c>
      <c r="AI90" s="557">
        <f t="shared" si="126"/>
        <v>0</v>
      </c>
      <c r="AJ90" s="557">
        <f t="shared" si="126"/>
        <v>0</v>
      </c>
      <c r="AK90" s="557">
        <f t="shared" si="126"/>
        <v>0</v>
      </c>
      <c r="AL90" s="557">
        <f t="shared" si="126"/>
        <v>0</v>
      </c>
      <c r="AM90" s="557">
        <f t="shared" si="126"/>
        <v>0</v>
      </c>
      <c r="AN90" s="558">
        <f t="shared" si="98"/>
        <v>0</v>
      </c>
      <c r="AO90" s="512">
        <f t="shared" si="94"/>
        <v>0</v>
      </c>
      <c r="AP90" s="599">
        <f t="shared" ref="AP90:AY90" si="129">ROUND($BE90*AP30,0)</f>
        <v>0</v>
      </c>
      <c r="AQ90" s="600">
        <f t="shared" si="129"/>
        <v>0</v>
      </c>
      <c r="AR90" s="600">
        <f t="shared" si="129"/>
        <v>0</v>
      </c>
      <c r="AS90" s="600">
        <f t="shared" si="129"/>
        <v>0</v>
      </c>
      <c r="AT90" s="600">
        <f t="shared" si="129"/>
        <v>0</v>
      </c>
      <c r="AU90" s="600">
        <f t="shared" si="129"/>
        <v>0</v>
      </c>
      <c r="AV90" s="600">
        <f t="shared" si="129"/>
        <v>0</v>
      </c>
      <c r="AW90" s="600">
        <f t="shared" si="129"/>
        <v>0</v>
      </c>
      <c r="AX90" s="600">
        <f t="shared" si="129"/>
        <v>0</v>
      </c>
      <c r="AY90" s="600">
        <f t="shared" si="129"/>
        <v>0</v>
      </c>
      <c r="AZ90" s="601">
        <f t="shared" si="100"/>
        <v>0</v>
      </c>
      <c r="BA90" s="849"/>
      <c r="BB90" s="689">
        <f t="shared" si="96"/>
        <v>0</v>
      </c>
      <c r="BC90" s="689"/>
      <c r="BD90" s="32" t="str">
        <f t="shared" si="97"/>
        <v>Senior Personnel</v>
      </c>
      <c r="BE90" s="259"/>
      <c r="BF90" s="173"/>
      <c r="BG90" s="173"/>
      <c r="BH90" s="173"/>
      <c r="BI90" s="173"/>
      <c r="BJ90" s="173"/>
      <c r="BK90" s="173"/>
      <c r="BL90" s="173"/>
      <c r="BM90" s="173"/>
      <c r="BR90" s="173"/>
      <c r="BS90"/>
      <c r="CD90" s="149"/>
    </row>
    <row r="91" spans="2:83" ht="45.75" customHeight="1" collapsed="1" thickTop="1" thickBot="1" x14ac:dyDescent="0.3">
      <c r="B91" s="744" t="s">
        <v>221</v>
      </c>
      <c r="C91" s="744"/>
      <c r="D91" s="744"/>
      <c r="E91" s="744"/>
      <c r="F91" s="744"/>
      <c r="G91" s="744"/>
      <c r="H91" s="744"/>
      <c r="I91" s="744"/>
      <c r="J91" s="328"/>
      <c r="K91" s="328"/>
      <c r="L91" s="328"/>
      <c r="M91" s="328"/>
      <c r="N91" s="328"/>
      <c r="O91" s="328"/>
      <c r="P91" s="328"/>
      <c r="Q91" s="328"/>
      <c r="R91" s="328"/>
      <c r="S91" s="328"/>
      <c r="T91" s="328"/>
      <c r="U91" s="328"/>
      <c r="V91" s="328"/>
      <c r="W91" s="328"/>
      <c r="X91" s="328"/>
      <c r="Y91" s="328"/>
      <c r="Z91" s="328"/>
      <c r="AA91" s="328"/>
      <c r="AB91" s="328"/>
      <c r="AC91" s="328"/>
      <c r="AD91" s="329">
        <f t="shared" ref="AD91:AN91" si="130">SUM(AD71:AD90)</f>
        <v>0</v>
      </c>
      <c r="AE91" s="329">
        <f t="shared" si="130"/>
        <v>0</v>
      </c>
      <c r="AF91" s="330">
        <f t="shared" si="130"/>
        <v>0</v>
      </c>
      <c r="AG91" s="330">
        <f t="shared" si="130"/>
        <v>0</v>
      </c>
      <c r="AH91" s="330">
        <f t="shared" si="130"/>
        <v>0</v>
      </c>
      <c r="AI91" s="330">
        <f t="shared" si="130"/>
        <v>0</v>
      </c>
      <c r="AJ91" s="330">
        <f t="shared" si="130"/>
        <v>0</v>
      </c>
      <c r="AK91" s="330">
        <f t="shared" si="130"/>
        <v>0</v>
      </c>
      <c r="AL91" s="330">
        <f t="shared" si="130"/>
        <v>0</v>
      </c>
      <c r="AM91" s="330">
        <f t="shared" si="130"/>
        <v>0</v>
      </c>
      <c r="AN91" s="330">
        <f t="shared" si="130"/>
        <v>0</v>
      </c>
      <c r="AO91" s="512">
        <f t="shared" si="94"/>
        <v>0</v>
      </c>
      <c r="AP91" s="569">
        <f t="shared" ref="AP91:AZ91" si="131">SUM(AP71:AP90)</f>
        <v>0</v>
      </c>
      <c r="AQ91" s="568">
        <f t="shared" si="131"/>
        <v>0</v>
      </c>
      <c r="AR91" s="568">
        <f t="shared" si="131"/>
        <v>0</v>
      </c>
      <c r="AS91" s="568">
        <f t="shared" si="131"/>
        <v>0</v>
      </c>
      <c r="AT91" s="568">
        <f t="shared" si="131"/>
        <v>0</v>
      </c>
      <c r="AU91" s="568">
        <f t="shared" si="131"/>
        <v>0</v>
      </c>
      <c r="AV91" s="568">
        <f t="shared" si="131"/>
        <v>0</v>
      </c>
      <c r="AW91" s="568">
        <f t="shared" si="131"/>
        <v>0</v>
      </c>
      <c r="AX91" s="568">
        <f t="shared" si="131"/>
        <v>0</v>
      </c>
      <c r="AY91" s="568">
        <f t="shared" si="131"/>
        <v>0</v>
      </c>
      <c r="AZ91" s="569">
        <f t="shared" si="131"/>
        <v>0</v>
      </c>
      <c r="BA91" s="381"/>
      <c r="BB91" s="728" t="s">
        <v>222</v>
      </c>
      <c r="BC91" s="728"/>
      <c r="BD91" s="728"/>
      <c r="BE91" s="728"/>
      <c r="BF91" s="728"/>
      <c r="BG91" s="728"/>
      <c r="BH91" s="728"/>
      <c r="BI91" s="728"/>
      <c r="BJ91" s="728"/>
      <c r="BK91" s="728"/>
      <c r="BL91" s="728"/>
      <c r="BM91" s="728"/>
      <c r="BN91" s="728"/>
      <c r="BO91" s="728"/>
      <c r="BP91" s="728"/>
      <c r="BQ91" s="728"/>
      <c r="BR91" s="728"/>
      <c r="BS91" s="728"/>
      <c r="BT91" s="728"/>
      <c r="BU91" s="728"/>
      <c r="BV91" s="728"/>
      <c r="BW91" s="728"/>
      <c r="BX91" s="728"/>
      <c r="BY91" s="728"/>
      <c r="BZ91" s="728"/>
      <c r="CA91" s="728"/>
      <c r="CB91" s="728"/>
      <c r="CC91" s="728"/>
      <c r="CD91" s="729"/>
      <c r="CE91" s="28"/>
    </row>
    <row r="92" spans="2:83" ht="52.5" customHeight="1" thickBot="1" x14ac:dyDescent="0.35">
      <c r="B92" s="738" t="s">
        <v>223</v>
      </c>
      <c r="C92" s="738"/>
      <c r="D92" s="738"/>
      <c r="E92" s="738"/>
      <c r="F92" s="738"/>
      <c r="G92" s="738"/>
      <c r="H92" s="738"/>
      <c r="I92" s="738"/>
      <c r="J92" s="738"/>
      <c r="K92" s="738"/>
      <c r="L92" s="738"/>
      <c r="M92" s="738"/>
      <c r="N92" s="738"/>
      <c r="O92" s="738"/>
      <c r="P92" s="738"/>
      <c r="Q92" s="738"/>
      <c r="R92" s="738"/>
      <c r="S92" s="738"/>
      <c r="T92" s="738"/>
      <c r="U92" s="738"/>
      <c r="V92" s="738"/>
      <c r="W92" s="738"/>
      <c r="X92" s="738"/>
      <c r="Y92" s="738"/>
      <c r="Z92" s="738"/>
      <c r="AA92" s="738"/>
      <c r="AB92" s="738"/>
      <c r="AC92" s="738"/>
      <c r="AD92" s="738"/>
      <c r="AE92" s="738"/>
      <c r="AF92" s="738"/>
      <c r="AG92" s="738"/>
      <c r="AH92" s="738"/>
      <c r="AI92" s="738"/>
      <c r="AJ92" s="738"/>
      <c r="AK92" s="738"/>
      <c r="AL92" s="738"/>
      <c r="AM92" s="738"/>
      <c r="AN92" s="738"/>
      <c r="AO92" s="511"/>
      <c r="AP92" s="672" t="s">
        <v>223</v>
      </c>
      <c r="AQ92" s="672"/>
      <c r="AR92" s="672"/>
      <c r="AS92" s="672"/>
      <c r="AT92" s="672"/>
      <c r="AU92" s="672"/>
      <c r="AV92" s="672"/>
      <c r="AW92" s="672"/>
      <c r="AX92" s="672"/>
      <c r="AY92" s="672"/>
      <c r="AZ92" s="672"/>
      <c r="BA92" s="672"/>
      <c r="BB92" s="672"/>
      <c r="BC92" s="672"/>
      <c r="BD92" s="672"/>
      <c r="BE92" s="672"/>
      <c r="BF92" s="672"/>
      <c r="BG92" s="672"/>
      <c r="BH92" s="672"/>
      <c r="BI92" s="672"/>
      <c r="BJ92" s="672"/>
      <c r="BK92" s="672"/>
      <c r="BL92" s="672"/>
      <c r="BM92" s="672"/>
      <c r="BN92" s="672"/>
      <c r="BO92" s="672"/>
      <c r="BP92" s="672"/>
      <c r="BQ92" s="672"/>
      <c r="BR92" s="672"/>
      <c r="BS92" s="672"/>
      <c r="BT92" s="672"/>
      <c r="BU92" s="672"/>
      <c r="BV92" s="672"/>
      <c r="BW92" s="672"/>
      <c r="BX92" s="672"/>
      <c r="BY92" s="672"/>
      <c r="BZ92" s="672"/>
      <c r="CA92" s="672"/>
      <c r="CB92" s="672"/>
      <c r="CC92" s="672"/>
      <c r="CD92" s="672"/>
    </row>
    <row r="93" spans="2:83" ht="39.75" customHeight="1" thickTop="1" x14ac:dyDescent="0.25">
      <c r="B93" s="55" t="s">
        <v>158</v>
      </c>
      <c r="C93" s="53" t="s">
        <v>159</v>
      </c>
      <c r="D93" s="53"/>
      <c r="E93" s="56" t="s">
        <v>219</v>
      </c>
      <c r="F93" s="805" t="s">
        <v>220</v>
      </c>
      <c r="G93" s="805"/>
      <c r="H93" s="805"/>
      <c r="I93" s="805"/>
      <c r="J93" s="805"/>
      <c r="K93" s="805"/>
      <c r="L93" s="805"/>
      <c r="M93" s="805"/>
      <c r="N93" s="805"/>
      <c r="O93" s="805"/>
      <c r="P93" s="805"/>
      <c r="Q93" s="805"/>
      <c r="R93" s="805"/>
      <c r="S93" s="805"/>
      <c r="T93" s="805"/>
      <c r="U93" s="805"/>
      <c r="V93" s="805"/>
      <c r="W93" s="805"/>
      <c r="X93" s="805"/>
      <c r="Y93" s="805"/>
      <c r="Z93" s="805"/>
      <c r="AA93" s="805"/>
      <c r="AB93" s="805"/>
      <c r="AC93" s="805"/>
      <c r="AD93" s="51" t="s">
        <v>137</v>
      </c>
      <c r="AE93" s="51" t="s">
        <v>138</v>
      </c>
      <c r="AF93" s="51" t="s">
        <v>139</v>
      </c>
      <c r="AG93" s="51" t="s">
        <v>140</v>
      </c>
      <c r="AH93" s="51" t="s">
        <v>141</v>
      </c>
      <c r="AI93" s="51" t="s">
        <v>142</v>
      </c>
      <c r="AJ93" s="51" t="s">
        <v>143</v>
      </c>
      <c r="AK93" s="51" t="s">
        <v>144</v>
      </c>
      <c r="AL93" s="51" t="s">
        <v>145</v>
      </c>
      <c r="AM93" s="51" t="s">
        <v>146</v>
      </c>
      <c r="AN93" s="353" t="s">
        <v>116</v>
      </c>
      <c r="AO93" s="512"/>
      <c r="AP93" s="54" t="s">
        <v>137</v>
      </c>
      <c r="AQ93" s="54" t="s">
        <v>138</v>
      </c>
      <c r="AR93" s="54" t="s">
        <v>139</v>
      </c>
      <c r="AS93" s="54" t="s">
        <v>140</v>
      </c>
      <c r="AT93" s="54" t="s">
        <v>141</v>
      </c>
      <c r="AU93" s="54" t="s">
        <v>142</v>
      </c>
      <c r="AV93" s="54" t="s">
        <v>143</v>
      </c>
      <c r="AW93" s="54" t="s">
        <v>144</v>
      </c>
      <c r="AX93" s="54" t="s">
        <v>145</v>
      </c>
      <c r="AY93" s="54" t="s">
        <v>146</v>
      </c>
      <c r="AZ93" s="353" t="s">
        <v>147</v>
      </c>
      <c r="BA93" s="850" t="s">
        <v>220</v>
      </c>
      <c r="BB93" s="55" t="s">
        <v>158</v>
      </c>
      <c r="BC93" s="53" t="s">
        <v>159</v>
      </c>
      <c r="BD93" s="53"/>
      <c r="BE93" s="56" t="s">
        <v>219</v>
      </c>
      <c r="BF93" s="174"/>
      <c r="BG93" s="174"/>
      <c r="BH93" s="174"/>
      <c r="BI93" s="174"/>
      <c r="BJ93" s="174"/>
      <c r="BK93" s="174"/>
      <c r="BL93" s="174"/>
      <c r="BM93" s="174"/>
      <c r="BR93" s="174"/>
      <c r="BS93"/>
      <c r="BT93" s="174"/>
      <c r="CD93" s="149"/>
    </row>
    <row r="94" spans="2:83" ht="25.5" customHeight="1" thickBot="1" x14ac:dyDescent="0.3">
      <c r="B94" s="33">
        <f>B34</f>
        <v>0</v>
      </c>
      <c r="C94" s="796" t="str">
        <f>C34</f>
        <v>Research Assistant</v>
      </c>
      <c r="D94" s="796"/>
      <c r="E94" s="260"/>
      <c r="F94" s="806"/>
      <c r="G94" s="806"/>
      <c r="H94" s="806"/>
      <c r="I94" s="806"/>
      <c r="J94" s="806"/>
      <c r="K94" s="806"/>
      <c r="L94" s="806"/>
      <c r="M94" s="806"/>
      <c r="N94" s="806"/>
      <c r="O94" s="806"/>
      <c r="P94" s="806"/>
      <c r="Q94" s="806"/>
      <c r="R94" s="806"/>
      <c r="S94" s="806"/>
      <c r="T94" s="806"/>
      <c r="U94" s="806"/>
      <c r="V94" s="806"/>
      <c r="W94" s="806"/>
      <c r="X94" s="806"/>
      <c r="Y94" s="806"/>
      <c r="Z94" s="806"/>
      <c r="AA94" s="806"/>
      <c r="AB94" s="806"/>
      <c r="AC94" s="806"/>
      <c r="AD94" s="557">
        <f>ROUND($E94*AD34,0)</f>
        <v>0</v>
      </c>
      <c r="AE94" s="557">
        <f>ROUND($E94*AE34,0)</f>
        <v>0</v>
      </c>
      <c r="AF94" s="557">
        <f>ROUND($E94*AF34,0)</f>
        <v>0</v>
      </c>
      <c r="AG94" s="557">
        <f>ROUND($E94*AG34,0)</f>
        <v>0</v>
      </c>
      <c r="AH94" s="557">
        <f>ROUND($E94*AH34,0)</f>
        <v>0</v>
      </c>
      <c r="AI94" s="557">
        <f t="shared" ref="AI94:AM94" si="132">ROUND($E94*AI34,0)</f>
        <v>0</v>
      </c>
      <c r="AJ94" s="557">
        <f t="shared" si="132"/>
        <v>0</v>
      </c>
      <c r="AK94" s="557">
        <f t="shared" si="132"/>
        <v>0</v>
      </c>
      <c r="AL94" s="557">
        <f t="shared" si="132"/>
        <v>0</v>
      </c>
      <c r="AM94" s="557">
        <f t="shared" si="132"/>
        <v>0</v>
      </c>
      <c r="AN94" s="558">
        <f>SUM(AD94:AM94)</f>
        <v>0</v>
      </c>
      <c r="AO94" s="512">
        <f t="shared" ref="AO94:AO114" si="133">AN94+AZ94</f>
        <v>0</v>
      </c>
      <c r="AP94" s="599">
        <f t="shared" ref="AP94:AY94" si="134">ROUND($BE94*AP34,0)</f>
        <v>0</v>
      </c>
      <c r="AQ94" s="600">
        <f t="shared" si="134"/>
        <v>0</v>
      </c>
      <c r="AR94" s="600">
        <f t="shared" si="134"/>
        <v>0</v>
      </c>
      <c r="AS94" s="600">
        <f t="shared" si="134"/>
        <v>0</v>
      </c>
      <c r="AT94" s="600">
        <f t="shared" si="134"/>
        <v>0</v>
      </c>
      <c r="AU94" s="600">
        <f t="shared" si="134"/>
        <v>0</v>
      </c>
      <c r="AV94" s="600">
        <f t="shared" si="134"/>
        <v>0</v>
      </c>
      <c r="AW94" s="600">
        <f t="shared" si="134"/>
        <v>0</v>
      </c>
      <c r="AX94" s="600">
        <f t="shared" si="134"/>
        <v>0</v>
      </c>
      <c r="AY94" s="600">
        <f t="shared" si="134"/>
        <v>0</v>
      </c>
      <c r="AZ94" s="601">
        <f>SUM(AP94:AY94)</f>
        <v>0</v>
      </c>
      <c r="BA94" s="851"/>
      <c r="BB94" s="33">
        <f t="shared" ref="BB94:BB113" si="135">BN34</f>
        <v>0</v>
      </c>
      <c r="BC94" s="796" t="str">
        <f t="shared" ref="BC94:BC113" si="136">BO34</f>
        <v>Research Assistant</v>
      </c>
      <c r="BD94" s="796"/>
      <c r="BE94" s="260"/>
      <c r="BF94" s="175"/>
      <c r="BG94" s="175"/>
      <c r="BH94" s="175"/>
      <c r="BI94" s="175"/>
      <c r="BJ94" s="175"/>
      <c r="BK94" s="175"/>
      <c r="BL94" s="175"/>
      <c r="BM94" s="175"/>
      <c r="BR94" s="175"/>
      <c r="BS94"/>
      <c r="BT94" s="175"/>
      <c r="CD94" s="149"/>
    </row>
    <row r="95" spans="2:83" ht="25.5" customHeight="1" thickTop="1" thickBot="1" x14ac:dyDescent="0.3">
      <c r="B95" s="33">
        <f t="shared" ref="B95:B108" si="137">B35</f>
        <v>0</v>
      </c>
      <c r="C95" s="796" t="str">
        <f t="shared" ref="C95:C112" si="138">C35</f>
        <v>Post-Doc</v>
      </c>
      <c r="D95" s="796"/>
      <c r="E95" s="260"/>
      <c r="F95" s="806"/>
      <c r="G95" s="806"/>
      <c r="H95" s="806"/>
      <c r="I95" s="806"/>
      <c r="J95" s="806"/>
      <c r="K95" s="806"/>
      <c r="L95" s="806"/>
      <c r="M95" s="806"/>
      <c r="N95" s="806"/>
      <c r="O95" s="806"/>
      <c r="P95" s="806"/>
      <c r="Q95" s="806"/>
      <c r="R95" s="806"/>
      <c r="S95" s="806"/>
      <c r="T95" s="806"/>
      <c r="U95" s="806"/>
      <c r="V95" s="806"/>
      <c r="W95" s="806"/>
      <c r="X95" s="806"/>
      <c r="Y95" s="806"/>
      <c r="Z95" s="806"/>
      <c r="AA95" s="806"/>
      <c r="AB95" s="806"/>
      <c r="AC95" s="806"/>
      <c r="AD95" s="557">
        <f t="shared" ref="AD95:AM109" si="139">ROUND($E95*AD35,0)</f>
        <v>0</v>
      </c>
      <c r="AE95" s="557">
        <f t="shared" si="139"/>
        <v>0</v>
      </c>
      <c r="AF95" s="557">
        <f t="shared" si="139"/>
        <v>0</v>
      </c>
      <c r="AG95" s="557">
        <f t="shared" si="139"/>
        <v>0</v>
      </c>
      <c r="AH95" s="557">
        <f t="shared" si="139"/>
        <v>0</v>
      </c>
      <c r="AI95" s="557">
        <f t="shared" si="139"/>
        <v>0</v>
      </c>
      <c r="AJ95" s="557">
        <f t="shared" si="139"/>
        <v>0</v>
      </c>
      <c r="AK95" s="557">
        <f t="shared" si="139"/>
        <v>0</v>
      </c>
      <c r="AL95" s="557">
        <f t="shared" si="139"/>
        <v>0</v>
      </c>
      <c r="AM95" s="557">
        <f t="shared" si="139"/>
        <v>0</v>
      </c>
      <c r="AN95" s="558">
        <f t="shared" ref="AN95:AN113" si="140">SUM(AD95:AM95)</f>
        <v>0</v>
      </c>
      <c r="AO95" s="512">
        <f t="shared" si="133"/>
        <v>0</v>
      </c>
      <c r="AP95" s="599">
        <f t="shared" ref="AP95:AY95" si="141">ROUND($BE95*AP35,0)</f>
        <v>0</v>
      </c>
      <c r="AQ95" s="600">
        <f t="shared" si="141"/>
        <v>0</v>
      </c>
      <c r="AR95" s="600">
        <f t="shared" si="141"/>
        <v>0</v>
      </c>
      <c r="AS95" s="600">
        <f t="shared" si="141"/>
        <v>0</v>
      </c>
      <c r="AT95" s="600">
        <f t="shared" si="141"/>
        <v>0</v>
      </c>
      <c r="AU95" s="600">
        <f t="shared" si="141"/>
        <v>0</v>
      </c>
      <c r="AV95" s="600">
        <f t="shared" si="141"/>
        <v>0</v>
      </c>
      <c r="AW95" s="600">
        <f t="shared" si="141"/>
        <v>0</v>
      </c>
      <c r="AX95" s="600">
        <f t="shared" si="141"/>
        <v>0</v>
      </c>
      <c r="AY95" s="600">
        <f t="shared" si="141"/>
        <v>0</v>
      </c>
      <c r="AZ95" s="601">
        <f t="shared" ref="AZ95:AZ113" si="142">SUM(AP95:AY95)</f>
        <v>0</v>
      </c>
      <c r="BA95" s="851"/>
      <c r="BB95" s="33">
        <f t="shared" si="135"/>
        <v>0</v>
      </c>
      <c r="BC95" s="796" t="str">
        <f t="shared" si="136"/>
        <v>Post-Doc</v>
      </c>
      <c r="BD95" s="796"/>
      <c r="BE95" s="260"/>
      <c r="BF95" s="175"/>
      <c r="BG95" s="175"/>
      <c r="BH95" s="175"/>
      <c r="BI95" s="175"/>
      <c r="BJ95" s="175"/>
      <c r="BK95" s="175"/>
      <c r="BL95" s="175"/>
      <c r="BM95" s="175"/>
      <c r="BR95" s="175"/>
      <c r="BS95"/>
      <c r="BT95" s="175"/>
      <c r="CD95" s="149"/>
    </row>
    <row r="96" spans="2:83" ht="25.5" customHeight="1" thickTop="1" thickBot="1" x14ac:dyDescent="0.3">
      <c r="B96" s="33">
        <f t="shared" si="137"/>
        <v>0</v>
      </c>
      <c r="C96" s="796" t="str">
        <f t="shared" si="138"/>
        <v xml:space="preserve">Undergrad - AY </v>
      </c>
      <c r="D96" s="796"/>
      <c r="E96" s="260"/>
      <c r="F96" s="806"/>
      <c r="G96" s="806"/>
      <c r="H96" s="806"/>
      <c r="I96" s="806"/>
      <c r="J96" s="806"/>
      <c r="K96" s="806"/>
      <c r="L96" s="806"/>
      <c r="M96" s="806"/>
      <c r="N96" s="806"/>
      <c r="O96" s="806"/>
      <c r="P96" s="806"/>
      <c r="Q96" s="806"/>
      <c r="R96" s="806"/>
      <c r="S96" s="806"/>
      <c r="T96" s="806"/>
      <c r="U96" s="806"/>
      <c r="V96" s="806"/>
      <c r="W96" s="806"/>
      <c r="X96" s="806"/>
      <c r="Y96" s="806"/>
      <c r="Z96" s="806"/>
      <c r="AA96" s="806"/>
      <c r="AB96" s="806"/>
      <c r="AC96" s="806"/>
      <c r="AD96" s="557">
        <f t="shared" si="139"/>
        <v>0</v>
      </c>
      <c r="AE96" s="557">
        <f t="shared" si="139"/>
        <v>0</v>
      </c>
      <c r="AF96" s="557">
        <f t="shared" si="139"/>
        <v>0</v>
      </c>
      <c r="AG96" s="557">
        <f t="shared" si="139"/>
        <v>0</v>
      </c>
      <c r="AH96" s="557">
        <f t="shared" si="139"/>
        <v>0</v>
      </c>
      <c r="AI96" s="557">
        <f t="shared" si="139"/>
        <v>0</v>
      </c>
      <c r="AJ96" s="557">
        <f t="shared" si="139"/>
        <v>0</v>
      </c>
      <c r="AK96" s="557">
        <f t="shared" si="139"/>
        <v>0</v>
      </c>
      <c r="AL96" s="557">
        <f t="shared" si="139"/>
        <v>0</v>
      </c>
      <c r="AM96" s="557">
        <f t="shared" si="139"/>
        <v>0</v>
      </c>
      <c r="AN96" s="558">
        <f t="shared" si="140"/>
        <v>0</v>
      </c>
      <c r="AO96" s="512">
        <f t="shared" si="133"/>
        <v>0</v>
      </c>
      <c r="AP96" s="599">
        <f t="shared" ref="AP96:AY96" si="143">ROUND($BE96*AP36,0)</f>
        <v>0</v>
      </c>
      <c r="AQ96" s="600">
        <f t="shared" si="143"/>
        <v>0</v>
      </c>
      <c r="AR96" s="600">
        <f t="shared" si="143"/>
        <v>0</v>
      </c>
      <c r="AS96" s="600">
        <f t="shared" si="143"/>
        <v>0</v>
      </c>
      <c r="AT96" s="600">
        <f t="shared" si="143"/>
        <v>0</v>
      </c>
      <c r="AU96" s="600">
        <f t="shared" si="143"/>
        <v>0</v>
      </c>
      <c r="AV96" s="600">
        <f t="shared" si="143"/>
        <v>0</v>
      </c>
      <c r="AW96" s="600">
        <f t="shared" si="143"/>
        <v>0</v>
      </c>
      <c r="AX96" s="600">
        <f t="shared" si="143"/>
        <v>0</v>
      </c>
      <c r="AY96" s="600">
        <f t="shared" si="143"/>
        <v>0</v>
      </c>
      <c r="AZ96" s="601">
        <f t="shared" si="142"/>
        <v>0</v>
      </c>
      <c r="BA96" s="851"/>
      <c r="BB96" s="33">
        <f t="shared" si="135"/>
        <v>0</v>
      </c>
      <c r="BC96" s="796" t="str">
        <f t="shared" si="136"/>
        <v xml:space="preserve">Undergrad - AY </v>
      </c>
      <c r="BD96" s="796"/>
      <c r="BE96" s="260">
        <v>4.1000000000000003E-3</v>
      </c>
      <c r="BF96" s="175"/>
      <c r="BG96" s="175"/>
      <c r="BH96" s="175"/>
      <c r="BI96" s="175"/>
      <c r="BJ96" s="175"/>
      <c r="BK96" s="175"/>
      <c r="BL96" s="175"/>
      <c r="BM96" s="175"/>
      <c r="BR96" s="175"/>
      <c r="BS96"/>
      <c r="BT96" s="175"/>
      <c r="CD96" s="149"/>
    </row>
    <row r="97" spans="2:82" ht="25.5" customHeight="1" thickTop="1" thickBot="1" x14ac:dyDescent="0.3">
      <c r="B97" s="33">
        <f t="shared" si="137"/>
        <v>0</v>
      </c>
      <c r="C97" s="796" t="str">
        <f t="shared" si="138"/>
        <v>Undergrad - SM</v>
      </c>
      <c r="D97" s="796"/>
      <c r="E97" s="260"/>
      <c r="F97" s="806"/>
      <c r="G97" s="806"/>
      <c r="H97" s="806"/>
      <c r="I97" s="806"/>
      <c r="J97" s="806"/>
      <c r="K97" s="806"/>
      <c r="L97" s="806"/>
      <c r="M97" s="806"/>
      <c r="N97" s="806"/>
      <c r="O97" s="806"/>
      <c r="P97" s="806"/>
      <c r="Q97" s="806"/>
      <c r="R97" s="806"/>
      <c r="S97" s="806"/>
      <c r="T97" s="806"/>
      <c r="U97" s="806"/>
      <c r="V97" s="806"/>
      <c r="W97" s="806"/>
      <c r="X97" s="806"/>
      <c r="Y97" s="806"/>
      <c r="Z97" s="806"/>
      <c r="AA97" s="806"/>
      <c r="AB97" s="806"/>
      <c r="AC97" s="806"/>
      <c r="AD97" s="557">
        <f t="shared" si="139"/>
        <v>0</v>
      </c>
      <c r="AE97" s="557">
        <f t="shared" si="139"/>
        <v>0</v>
      </c>
      <c r="AF97" s="557">
        <f t="shared" si="139"/>
        <v>0</v>
      </c>
      <c r="AG97" s="557">
        <f t="shared" si="139"/>
        <v>0</v>
      </c>
      <c r="AH97" s="557">
        <f t="shared" si="139"/>
        <v>0</v>
      </c>
      <c r="AI97" s="557">
        <f t="shared" si="139"/>
        <v>0</v>
      </c>
      <c r="AJ97" s="557">
        <f t="shared" si="139"/>
        <v>0</v>
      </c>
      <c r="AK97" s="557">
        <f t="shared" si="139"/>
        <v>0</v>
      </c>
      <c r="AL97" s="557">
        <f t="shared" si="139"/>
        <v>0</v>
      </c>
      <c r="AM97" s="557">
        <f t="shared" si="139"/>
        <v>0</v>
      </c>
      <c r="AN97" s="558">
        <f t="shared" si="140"/>
        <v>0</v>
      </c>
      <c r="AO97" s="512">
        <f t="shared" si="133"/>
        <v>0</v>
      </c>
      <c r="AP97" s="599">
        <f t="shared" ref="AP97:AY97" si="144">ROUND($BE97*AP37,0)</f>
        <v>0</v>
      </c>
      <c r="AQ97" s="600">
        <f t="shared" si="144"/>
        <v>0</v>
      </c>
      <c r="AR97" s="600">
        <f t="shared" si="144"/>
        <v>0</v>
      </c>
      <c r="AS97" s="600">
        <f t="shared" si="144"/>
        <v>0</v>
      </c>
      <c r="AT97" s="600">
        <f t="shared" si="144"/>
        <v>0</v>
      </c>
      <c r="AU97" s="600">
        <f t="shared" si="144"/>
        <v>0</v>
      </c>
      <c r="AV97" s="600">
        <f t="shared" si="144"/>
        <v>0</v>
      </c>
      <c r="AW97" s="600">
        <f t="shared" si="144"/>
        <v>0</v>
      </c>
      <c r="AX97" s="600">
        <f t="shared" si="144"/>
        <v>0</v>
      </c>
      <c r="AY97" s="600">
        <f t="shared" si="144"/>
        <v>0</v>
      </c>
      <c r="AZ97" s="601">
        <f t="shared" si="142"/>
        <v>0</v>
      </c>
      <c r="BA97" s="851"/>
      <c r="BB97" s="33">
        <f t="shared" si="135"/>
        <v>0</v>
      </c>
      <c r="BC97" s="796" t="str">
        <f t="shared" si="136"/>
        <v>Undergrad - SM</v>
      </c>
      <c r="BD97" s="796"/>
      <c r="BE97" s="260">
        <v>8.0600000000000005E-2</v>
      </c>
      <c r="BF97" s="175"/>
      <c r="BG97" s="175"/>
      <c r="BH97" s="175"/>
      <c r="BI97" s="175"/>
      <c r="BJ97" s="175"/>
      <c r="BK97" s="175"/>
      <c r="BL97" s="175"/>
      <c r="BM97" s="175"/>
      <c r="BR97" s="175"/>
      <c r="BS97"/>
      <c r="BT97" s="175"/>
      <c r="CD97" s="149"/>
    </row>
    <row r="98" spans="2:82" ht="25.5" customHeight="1" thickTop="1" thickBot="1" x14ac:dyDescent="0.3">
      <c r="B98" s="33">
        <f t="shared" si="137"/>
        <v>0</v>
      </c>
      <c r="C98" s="796" t="str">
        <f t="shared" si="138"/>
        <v>Temp Employee</v>
      </c>
      <c r="D98" s="796"/>
      <c r="E98" s="260"/>
      <c r="F98" s="806"/>
      <c r="G98" s="806"/>
      <c r="H98" s="806"/>
      <c r="I98" s="806"/>
      <c r="J98" s="806"/>
      <c r="K98" s="806"/>
      <c r="L98" s="806"/>
      <c r="M98" s="806"/>
      <c r="N98" s="806"/>
      <c r="O98" s="806"/>
      <c r="P98" s="806"/>
      <c r="Q98" s="806"/>
      <c r="R98" s="806"/>
      <c r="S98" s="806"/>
      <c r="T98" s="806"/>
      <c r="U98" s="806"/>
      <c r="V98" s="806"/>
      <c r="W98" s="806"/>
      <c r="X98" s="806"/>
      <c r="Y98" s="806"/>
      <c r="Z98" s="806"/>
      <c r="AA98" s="806"/>
      <c r="AB98" s="806"/>
      <c r="AC98" s="806"/>
      <c r="AD98" s="557">
        <f t="shared" si="139"/>
        <v>0</v>
      </c>
      <c r="AE98" s="557">
        <f t="shared" si="139"/>
        <v>0</v>
      </c>
      <c r="AF98" s="557">
        <f t="shared" si="139"/>
        <v>0</v>
      </c>
      <c r="AG98" s="557">
        <f t="shared" si="139"/>
        <v>0</v>
      </c>
      <c r="AH98" s="557">
        <f t="shared" si="139"/>
        <v>0</v>
      </c>
      <c r="AI98" s="557">
        <f t="shared" si="139"/>
        <v>0</v>
      </c>
      <c r="AJ98" s="557">
        <f t="shared" si="139"/>
        <v>0</v>
      </c>
      <c r="AK98" s="557">
        <f t="shared" si="139"/>
        <v>0</v>
      </c>
      <c r="AL98" s="557">
        <f t="shared" si="139"/>
        <v>0</v>
      </c>
      <c r="AM98" s="557">
        <f t="shared" si="139"/>
        <v>0</v>
      </c>
      <c r="AN98" s="558">
        <f t="shared" si="140"/>
        <v>0</v>
      </c>
      <c r="AO98" s="512">
        <f t="shared" si="133"/>
        <v>0</v>
      </c>
      <c r="AP98" s="599">
        <f t="shared" ref="AP98:AY98" si="145">ROUND($BE98*AP38,0)</f>
        <v>0</v>
      </c>
      <c r="AQ98" s="600">
        <f t="shared" si="145"/>
        <v>0</v>
      </c>
      <c r="AR98" s="600">
        <f t="shared" si="145"/>
        <v>0</v>
      </c>
      <c r="AS98" s="600">
        <f t="shared" si="145"/>
        <v>0</v>
      </c>
      <c r="AT98" s="600">
        <f t="shared" si="145"/>
        <v>0</v>
      </c>
      <c r="AU98" s="600">
        <f t="shared" si="145"/>
        <v>0</v>
      </c>
      <c r="AV98" s="600">
        <f t="shared" si="145"/>
        <v>0</v>
      </c>
      <c r="AW98" s="600">
        <f t="shared" si="145"/>
        <v>0</v>
      </c>
      <c r="AX98" s="600">
        <f t="shared" si="145"/>
        <v>0</v>
      </c>
      <c r="AY98" s="600">
        <f t="shared" si="145"/>
        <v>0</v>
      </c>
      <c r="AZ98" s="601">
        <f t="shared" si="142"/>
        <v>0</v>
      </c>
      <c r="BA98" s="851"/>
      <c r="BB98" s="33">
        <f t="shared" si="135"/>
        <v>0</v>
      </c>
      <c r="BC98" s="796" t="str">
        <f t="shared" si="136"/>
        <v>Temp Employee</v>
      </c>
      <c r="BD98" s="796"/>
      <c r="BE98" s="260"/>
      <c r="BF98" s="175"/>
      <c r="BG98" s="175"/>
      <c r="BH98" s="175"/>
      <c r="BI98" s="175"/>
      <c r="BJ98" s="175"/>
      <c r="BK98" s="175"/>
      <c r="BL98" s="175"/>
      <c r="BM98" s="175"/>
      <c r="BR98" s="175"/>
      <c r="BS98"/>
      <c r="BT98" s="175"/>
      <c r="CD98" s="149"/>
    </row>
    <row r="99" spans="2:82" ht="25.5" customHeight="1" thickTop="1" thickBot="1" x14ac:dyDescent="0.3">
      <c r="B99" s="33">
        <f t="shared" si="137"/>
        <v>0</v>
      </c>
      <c r="C99" s="796" t="str">
        <f t="shared" si="138"/>
        <v>Student Worker</v>
      </c>
      <c r="D99" s="796"/>
      <c r="E99" s="260"/>
      <c r="F99" s="806"/>
      <c r="G99" s="806"/>
      <c r="H99" s="806"/>
      <c r="I99" s="806"/>
      <c r="J99" s="806"/>
      <c r="K99" s="806"/>
      <c r="L99" s="806"/>
      <c r="M99" s="806"/>
      <c r="N99" s="806"/>
      <c r="O99" s="806"/>
      <c r="P99" s="806"/>
      <c r="Q99" s="806"/>
      <c r="R99" s="806"/>
      <c r="S99" s="806"/>
      <c r="T99" s="806"/>
      <c r="U99" s="806"/>
      <c r="V99" s="806"/>
      <c r="W99" s="806"/>
      <c r="X99" s="806"/>
      <c r="Y99" s="806"/>
      <c r="Z99" s="806"/>
      <c r="AA99" s="806"/>
      <c r="AB99" s="806"/>
      <c r="AC99" s="806"/>
      <c r="AD99" s="557">
        <f t="shared" si="139"/>
        <v>0</v>
      </c>
      <c r="AE99" s="557">
        <f t="shared" si="139"/>
        <v>0</v>
      </c>
      <c r="AF99" s="557">
        <f t="shared" si="139"/>
        <v>0</v>
      </c>
      <c r="AG99" s="557">
        <f t="shared" si="139"/>
        <v>0</v>
      </c>
      <c r="AH99" s="557">
        <f t="shared" si="139"/>
        <v>0</v>
      </c>
      <c r="AI99" s="557">
        <f t="shared" si="139"/>
        <v>0</v>
      </c>
      <c r="AJ99" s="557">
        <f t="shared" si="139"/>
        <v>0</v>
      </c>
      <c r="AK99" s="557">
        <f t="shared" si="139"/>
        <v>0</v>
      </c>
      <c r="AL99" s="557">
        <f t="shared" si="139"/>
        <v>0</v>
      </c>
      <c r="AM99" s="557">
        <f t="shared" si="139"/>
        <v>0</v>
      </c>
      <c r="AN99" s="558">
        <f t="shared" si="140"/>
        <v>0</v>
      </c>
      <c r="AO99" s="512">
        <f t="shared" si="133"/>
        <v>0</v>
      </c>
      <c r="AP99" s="599">
        <f t="shared" ref="AP99:AY99" si="146">ROUND($BE99*AP39,0)</f>
        <v>0</v>
      </c>
      <c r="AQ99" s="600">
        <f t="shared" si="146"/>
        <v>0</v>
      </c>
      <c r="AR99" s="600">
        <f t="shared" si="146"/>
        <v>0</v>
      </c>
      <c r="AS99" s="600">
        <f t="shared" si="146"/>
        <v>0</v>
      </c>
      <c r="AT99" s="600">
        <f t="shared" si="146"/>
        <v>0</v>
      </c>
      <c r="AU99" s="600">
        <f t="shared" si="146"/>
        <v>0</v>
      </c>
      <c r="AV99" s="600">
        <f t="shared" si="146"/>
        <v>0</v>
      </c>
      <c r="AW99" s="600">
        <f t="shared" si="146"/>
        <v>0</v>
      </c>
      <c r="AX99" s="600">
        <f t="shared" si="146"/>
        <v>0</v>
      </c>
      <c r="AY99" s="600">
        <f t="shared" si="146"/>
        <v>0</v>
      </c>
      <c r="AZ99" s="601">
        <f t="shared" si="142"/>
        <v>0</v>
      </c>
      <c r="BA99" s="851"/>
      <c r="BB99" s="33">
        <f t="shared" si="135"/>
        <v>0</v>
      </c>
      <c r="BC99" s="796" t="str">
        <f t="shared" si="136"/>
        <v>Student Worker</v>
      </c>
      <c r="BD99" s="796"/>
      <c r="BE99" s="260"/>
      <c r="BF99" s="175"/>
      <c r="BG99" s="175"/>
      <c r="BH99" s="175"/>
      <c r="BI99" s="175"/>
      <c r="BJ99" s="175"/>
      <c r="BK99" s="175"/>
      <c r="BL99" s="175"/>
      <c r="BM99" s="175"/>
      <c r="BR99" s="175"/>
      <c r="BS99"/>
      <c r="BT99" s="175"/>
      <c r="CD99" s="149"/>
    </row>
    <row r="100" spans="2:82" ht="25.5" customHeight="1" thickTop="1" thickBot="1" x14ac:dyDescent="0.3">
      <c r="B100" s="33">
        <f t="shared" si="137"/>
        <v>0</v>
      </c>
      <c r="C100" s="796">
        <f t="shared" si="138"/>
        <v>0</v>
      </c>
      <c r="D100" s="796"/>
      <c r="E100" s="260"/>
      <c r="F100" s="806"/>
      <c r="G100" s="806"/>
      <c r="H100" s="806"/>
      <c r="I100" s="806"/>
      <c r="J100" s="806"/>
      <c r="K100" s="806"/>
      <c r="L100" s="806"/>
      <c r="M100" s="806"/>
      <c r="N100" s="806"/>
      <c r="O100" s="806"/>
      <c r="P100" s="806"/>
      <c r="Q100" s="806"/>
      <c r="R100" s="806"/>
      <c r="S100" s="806"/>
      <c r="T100" s="806"/>
      <c r="U100" s="806"/>
      <c r="V100" s="806"/>
      <c r="W100" s="806"/>
      <c r="X100" s="806"/>
      <c r="Y100" s="806"/>
      <c r="Z100" s="806"/>
      <c r="AA100" s="806"/>
      <c r="AB100" s="806"/>
      <c r="AC100" s="806"/>
      <c r="AD100" s="557">
        <f t="shared" si="139"/>
        <v>0</v>
      </c>
      <c r="AE100" s="557">
        <f t="shared" si="139"/>
        <v>0</v>
      </c>
      <c r="AF100" s="557">
        <f t="shared" si="139"/>
        <v>0</v>
      </c>
      <c r="AG100" s="557">
        <f t="shared" si="139"/>
        <v>0</v>
      </c>
      <c r="AH100" s="557">
        <f t="shared" si="139"/>
        <v>0</v>
      </c>
      <c r="AI100" s="557">
        <f t="shared" si="139"/>
        <v>0</v>
      </c>
      <c r="AJ100" s="557">
        <f t="shared" si="139"/>
        <v>0</v>
      </c>
      <c r="AK100" s="557">
        <f t="shared" si="139"/>
        <v>0</v>
      </c>
      <c r="AL100" s="557">
        <f t="shared" si="139"/>
        <v>0</v>
      </c>
      <c r="AM100" s="557">
        <f t="shared" si="139"/>
        <v>0</v>
      </c>
      <c r="AN100" s="558">
        <f t="shared" si="140"/>
        <v>0</v>
      </c>
      <c r="AO100" s="512">
        <f t="shared" si="133"/>
        <v>0</v>
      </c>
      <c r="AP100" s="599">
        <f t="shared" ref="AP100:AY100" si="147">ROUND($BE100*AP40,0)</f>
        <v>0</v>
      </c>
      <c r="AQ100" s="600">
        <f t="shared" si="147"/>
        <v>0</v>
      </c>
      <c r="AR100" s="600">
        <f t="shared" si="147"/>
        <v>0</v>
      </c>
      <c r="AS100" s="600">
        <f t="shared" si="147"/>
        <v>0</v>
      </c>
      <c r="AT100" s="600">
        <f t="shared" si="147"/>
        <v>0</v>
      </c>
      <c r="AU100" s="600">
        <f t="shared" si="147"/>
        <v>0</v>
      </c>
      <c r="AV100" s="600">
        <f t="shared" si="147"/>
        <v>0</v>
      </c>
      <c r="AW100" s="600">
        <f t="shared" si="147"/>
        <v>0</v>
      </c>
      <c r="AX100" s="600">
        <f t="shared" si="147"/>
        <v>0</v>
      </c>
      <c r="AY100" s="600">
        <f t="shared" si="147"/>
        <v>0</v>
      </c>
      <c r="AZ100" s="601">
        <f t="shared" si="142"/>
        <v>0</v>
      </c>
      <c r="BA100" s="851"/>
      <c r="BB100" s="33">
        <f t="shared" si="135"/>
        <v>0</v>
      </c>
      <c r="BC100" s="796">
        <f t="shared" si="136"/>
        <v>0</v>
      </c>
      <c r="BD100" s="796"/>
      <c r="BE100" s="260"/>
      <c r="BF100" s="175"/>
      <c r="BG100" s="175"/>
      <c r="BH100" s="175"/>
      <c r="BI100" s="175"/>
      <c r="BJ100" s="175"/>
      <c r="BK100" s="175"/>
      <c r="BL100" s="175"/>
      <c r="BM100" s="175"/>
      <c r="BR100" s="175"/>
      <c r="BS100"/>
      <c r="BT100" s="175"/>
      <c r="CD100" s="149"/>
    </row>
    <row r="101" spans="2:82" ht="25.5" customHeight="1" thickTop="1" thickBot="1" x14ac:dyDescent="0.3">
      <c r="B101" s="33">
        <f t="shared" si="137"/>
        <v>0</v>
      </c>
      <c r="C101" s="796">
        <f t="shared" si="138"/>
        <v>0</v>
      </c>
      <c r="D101" s="796"/>
      <c r="E101" s="260"/>
      <c r="F101" s="806"/>
      <c r="G101" s="806"/>
      <c r="H101" s="806"/>
      <c r="I101" s="806"/>
      <c r="J101" s="806"/>
      <c r="K101" s="806"/>
      <c r="L101" s="806"/>
      <c r="M101" s="806"/>
      <c r="N101" s="806"/>
      <c r="O101" s="806"/>
      <c r="P101" s="806"/>
      <c r="Q101" s="806"/>
      <c r="R101" s="806"/>
      <c r="S101" s="806"/>
      <c r="T101" s="806"/>
      <c r="U101" s="806"/>
      <c r="V101" s="806"/>
      <c r="W101" s="806"/>
      <c r="X101" s="806"/>
      <c r="Y101" s="806"/>
      <c r="Z101" s="806"/>
      <c r="AA101" s="806"/>
      <c r="AB101" s="806"/>
      <c r="AC101" s="806"/>
      <c r="AD101" s="557">
        <f t="shared" si="139"/>
        <v>0</v>
      </c>
      <c r="AE101" s="557">
        <f t="shared" si="139"/>
        <v>0</v>
      </c>
      <c r="AF101" s="557">
        <f t="shared" si="139"/>
        <v>0</v>
      </c>
      <c r="AG101" s="557">
        <f t="shared" si="139"/>
        <v>0</v>
      </c>
      <c r="AH101" s="557">
        <f t="shared" si="139"/>
        <v>0</v>
      </c>
      <c r="AI101" s="557">
        <f t="shared" si="139"/>
        <v>0</v>
      </c>
      <c r="AJ101" s="557">
        <f t="shared" si="139"/>
        <v>0</v>
      </c>
      <c r="AK101" s="557">
        <f t="shared" si="139"/>
        <v>0</v>
      </c>
      <c r="AL101" s="557">
        <f t="shared" si="139"/>
        <v>0</v>
      </c>
      <c r="AM101" s="557">
        <f t="shared" si="139"/>
        <v>0</v>
      </c>
      <c r="AN101" s="558">
        <f t="shared" si="140"/>
        <v>0</v>
      </c>
      <c r="AO101" s="512">
        <f t="shared" si="133"/>
        <v>0</v>
      </c>
      <c r="AP101" s="599">
        <f t="shared" ref="AP101:AY101" si="148">ROUND($BE101*AP41,0)</f>
        <v>0</v>
      </c>
      <c r="AQ101" s="600">
        <f t="shared" si="148"/>
        <v>0</v>
      </c>
      <c r="AR101" s="600">
        <f t="shared" si="148"/>
        <v>0</v>
      </c>
      <c r="AS101" s="600">
        <f t="shared" si="148"/>
        <v>0</v>
      </c>
      <c r="AT101" s="600">
        <f t="shared" si="148"/>
        <v>0</v>
      </c>
      <c r="AU101" s="600">
        <f t="shared" si="148"/>
        <v>0</v>
      </c>
      <c r="AV101" s="600">
        <f t="shared" si="148"/>
        <v>0</v>
      </c>
      <c r="AW101" s="600">
        <f t="shared" si="148"/>
        <v>0</v>
      </c>
      <c r="AX101" s="600">
        <f t="shared" si="148"/>
        <v>0</v>
      </c>
      <c r="AY101" s="600">
        <f t="shared" si="148"/>
        <v>0</v>
      </c>
      <c r="AZ101" s="601">
        <f t="shared" si="142"/>
        <v>0</v>
      </c>
      <c r="BA101" s="851"/>
      <c r="BB101" s="33">
        <f t="shared" si="135"/>
        <v>0</v>
      </c>
      <c r="BC101" s="796">
        <f t="shared" si="136"/>
        <v>0</v>
      </c>
      <c r="BD101" s="796"/>
      <c r="BE101" s="260"/>
      <c r="BF101" s="175"/>
      <c r="BG101" s="175"/>
      <c r="BH101" s="175"/>
      <c r="BI101" s="175"/>
      <c r="BJ101" s="175"/>
      <c r="BK101" s="175"/>
      <c r="BL101" s="175"/>
      <c r="BM101" s="175"/>
      <c r="BR101" s="175"/>
      <c r="BS101"/>
      <c r="BT101" s="175"/>
      <c r="CD101" s="149"/>
    </row>
    <row r="102" spans="2:82" ht="25.5" customHeight="1" thickTop="1" thickBot="1" x14ac:dyDescent="0.3">
      <c r="B102" s="33">
        <f t="shared" si="137"/>
        <v>0</v>
      </c>
      <c r="C102" s="796">
        <f t="shared" si="138"/>
        <v>0</v>
      </c>
      <c r="D102" s="796"/>
      <c r="E102" s="260"/>
      <c r="F102" s="806"/>
      <c r="G102" s="806"/>
      <c r="H102" s="806"/>
      <c r="I102" s="806"/>
      <c r="J102" s="806"/>
      <c r="K102" s="806"/>
      <c r="L102" s="806"/>
      <c r="M102" s="806"/>
      <c r="N102" s="806"/>
      <c r="O102" s="806"/>
      <c r="P102" s="806"/>
      <c r="Q102" s="806"/>
      <c r="R102" s="806"/>
      <c r="S102" s="806"/>
      <c r="T102" s="806"/>
      <c r="U102" s="806"/>
      <c r="V102" s="806"/>
      <c r="W102" s="806"/>
      <c r="X102" s="806"/>
      <c r="Y102" s="806"/>
      <c r="Z102" s="806"/>
      <c r="AA102" s="806"/>
      <c r="AB102" s="806"/>
      <c r="AC102" s="806"/>
      <c r="AD102" s="557">
        <f t="shared" si="139"/>
        <v>0</v>
      </c>
      <c r="AE102" s="557">
        <f t="shared" si="139"/>
        <v>0</v>
      </c>
      <c r="AF102" s="557">
        <f t="shared" si="139"/>
        <v>0</v>
      </c>
      <c r="AG102" s="557">
        <f t="shared" si="139"/>
        <v>0</v>
      </c>
      <c r="AH102" s="557">
        <f t="shared" si="139"/>
        <v>0</v>
      </c>
      <c r="AI102" s="557">
        <f t="shared" si="139"/>
        <v>0</v>
      </c>
      <c r="AJ102" s="557">
        <f t="shared" si="139"/>
        <v>0</v>
      </c>
      <c r="AK102" s="557">
        <f t="shared" si="139"/>
        <v>0</v>
      </c>
      <c r="AL102" s="557">
        <f t="shared" si="139"/>
        <v>0</v>
      </c>
      <c r="AM102" s="557">
        <f t="shared" si="139"/>
        <v>0</v>
      </c>
      <c r="AN102" s="558">
        <f t="shared" si="140"/>
        <v>0</v>
      </c>
      <c r="AO102" s="512">
        <f t="shared" si="133"/>
        <v>0</v>
      </c>
      <c r="AP102" s="599">
        <f t="shared" ref="AP102:AY102" si="149">ROUND($BE102*AP42,0)</f>
        <v>0</v>
      </c>
      <c r="AQ102" s="600">
        <f t="shared" si="149"/>
        <v>0</v>
      </c>
      <c r="AR102" s="600">
        <f t="shared" si="149"/>
        <v>0</v>
      </c>
      <c r="AS102" s="600">
        <f t="shared" si="149"/>
        <v>0</v>
      </c>
      <c r="AT102" s="600">
        <f t="shared" si="149"/>
        <v>0</v>
      </c>
      <c r="AU102" s="600">
        <f t="shared" si="149"/>
        <v>0</v>
      </c>
      <c r="AV102" s="600">
        <f t="shared" si="149"/>
        <v>0</v>
      </c>
      <c r="AW102" s="600">
        <f t="shared" si="149"/>
        <v>0</v>
      </c>
      <c r="AX102" s="600">
        <f t="shared" si="149"/>
        <v>0</v>
      </c>
      <c r="AY102" s="600">
        <f t="shared" si="149"/>
        <v>0</v>
      </c>
      <c r="AZ102" s="601">
        <f t="shared" si="142"/>
        <v>0</v>
      </c>
      <c r="BA102" s="851"/>
      <c r="BB102" s="33">
        <f t="shared" si="135"/>
        <v>0</v>
      </c>
      <c r="BC102" s="796">
        <f t="shared" si="136"/>
        <v>0</v>
      </c>
      <c r="BD102" s="796"/>
      <c r="BE102" s="260"/>
      <c r="BF102" s="175"/>
      <c r="BG102" s="175"/>
      <c r="BH102" s="175"/>
      <c r="BI102" s="175"/>
      <c r="BJ102" s="175"/>
      <c r="BK102" s="175"/>
      <c r="BL102" s="175"/>
      <c r="BM102" s="175"/>
      <c r="BR102" s="175"/>
      <c r="BS102"/>
      <c r="BT102" s="175"/>
      <c r="CD102" s="149"/>
    </row>
    <row r="103" spans="2:82" ht="25.5" customHeight="1" thickTop="1" thickBot="1" x14ac:dyDescent="0.3">
      <c r="B103" s="33">
        <f t="shared" si="137"/>
        <v>0</v>
      </c>
      <c r="C103" s="796">
        <f t="shared" si="138"/>
        <v>0</v>
      </c>
      <c r="D103" s="796"/>
      <c r="E103" s="260"/>
      <c r="F103" s="806"/>
      <c r="G103" s="806"/>
      <c r="H103" s="806"/>
      <c r="I103" s="806"/>
      <c r="J103" s="806"/>
      <c r="K103" s="806"/>
      <c r="L103" s="806"/>
      <c r="M103" s="806"/>
      <c r="N103" s="806"/>
      <c r="O103" s="806"/>
      <c r="P103" s="806"/>
      <c r="Q103" s="806"/>
      <c r="R103" s="806"/>
      <c r="S103" s="806"/>
      <c r="T103" s="806"/>
      <c r="U103" s="806"/>
      <c r="V103" s="806"/>
      <c r="W103" s="806"/>
      <c r="X103" s="806"/>
      <c r="Y103" s="806"/>
      <c r="Z103" s="806"/>
      <c r="AA103" s="806"/>
      <c r="AB103" s="806"/>
      <c r="AC103" s="806"/>
      <c r="AD103" s="557">
        <f t="shared" si="139"/>
        <v>0</v>
      </c>
      <c r="AE103" s="557">
        <f t="shared" si="139"/>
        <v>0</v>
      </c>
      <c r="AF103" s="557">
        <f t="shared" si="139"/>
        <v>0</v>
      </c>
      <c r="AG103" s="557">
        <f t="shared" si="139"/>
        <v>0</v>
      </c>
      <c r="AH103" s="557">
        <f t="shared" si="139"/>
        <v>0</v>
      </c>
      <c r="AI103" s="557">
        <f t="shared" si="139"/>
        <v>0</v>
      </c>
      <c r="AJ103" s="557">
        <f t="shared" si="139"/>
        <v>0</v>
      </c>
      <c r="AK103" s="557">
        <f t="shared" si="139"/>
        <v>0</v>
      </c>
      <c r="AL103" s="557">
        <f t="shared" si="139"/>
        <v>0</v>
      </c>
      <c r="AM103" s="557">
        <f t="shared" si="139"/>
        <v>0</v>
      </c>
      <c r="AN103" s="558">
        <f t="shared" si="140"/>
        <v>0</v>
      </c>
      <c r="AO103" s="512">
        <f t="shared" si="133"/>
        <v>0</v>
      </c>
      <c r="AP103" s="599">
        <f t="shared" ref="AP103:AY103" si="150">ROUND($BE103*AP43,0)</f>
        <v>0</v>
      </c>
      <c r="AQ103" s="600">
        <f t="shared" si="150"/>
        <v>0</v>
      </c>
      <c r="AR103" s="600">
        <f t="shared" si="150"/>
        <v>0</v>
      </c>
      <c r="AS103" s="600">
        <f t="shared" si="150"/>
        <v>0</v>
      </c>
      <c r="AT103" s="600">
        <f t="shared" si="150"/>
        <v>0</v>
      </c>
      <c r="AU103" s="600">
        <f t="shared" si="150"/>
        <v>0</v>
      </c>
      <c r="AV103" s="600">
        <f t="shared" si="150"/>
        <v>0</v>
      </c>
      <c r="AW103" s="600">
        <f t="shared" si="150"/>
        <v>0</v>
      </c>
      <c r="AX103" s="600">
        <f t="shared" si="150"/>
        <v>0</v>
      </c>
      <c r="AY103" s="600">
        <f t="shared" si="150"/>
        <v>0</v>
      </c>
      <c r="AZ103" s="601">
        <f t="shared" si="142"/>
        <v>0</v>
      </c>
      <c r="BA103" s="851"/>
      <c r="BB103" s="33">
        <f t="shared" si="135"/>
        <v>0</v>
      </c>
      <c r="BC103" s="796">
        <f t="shared" si="136"/>
        <v>0</v>
      </c>
      <c r="BD103" s="796"/>
      <c r="BE103" s="260"/>
      <c r="BF103" s="175"/>
      <c r="BG103" s="175"/>
      <c r="BH103" s="175"/>
      <c r="BI103" s="175"/>
      <c r="BJ103" s="175"/>
      <c r="BK103" s="175"/>
      <c r="BL103" s="175"/>
      <c r="BM103" s="175"/>
      <c r="BR103" s="175"/>
      <c r="BS103"/>
      <c r="BT103" s="175"/>
      <c r="CD103" s="149"/>
    </row>
    <row r="104" spans="2:82" ht="25.5" hidden="1" customHeight="1" outlineLevel="1" thickTop="1" thickBot="1" x14ac:dyDescent="0.3">
      <c r="B104" s="33">
        <f t="shared" si="137"/>
        <v>0</v>
      </c>
      <c r="C104" s="796">
        <f t="shared" si="138"/>
        <v>0</v>
      </c>
      <c r="D104" s="796"/>
      <c r="E104" s="260"/>
      <c r="F104" s="806"/>
      <c r="G104" s="806"/>
      <c r="H104" s="806"/>
      <c r="I104" s="806"/>
      <c r="J104" s="806"/>
      <c r="K104" s="806"/>
      <c r="L104" s="806"/>
      <c r="M104" s="806"/>
      <c r="N104" s="806"/>
      <c r="O104" s="806"/>
      <c r="P104" s="806"/>
      <c r="Q104" s="806"/>
      <c r="R104" s="806"/>
      <c r="S104" s="806"/>
      <c r="T104" s="806"/>
      <c r="U104" s="806"/>
      <c r="V104" s="806"/>
      <c r="W104" s="806"/>
      <c r="X104" s="806"/>
      <c r="Y104" s="806"/>
      <c r="Z104" s="806"/>
      <c r="AA104" s="806"/>
      <c r="AB104" s="806"/>
      <c r="AC104" s="806"/>
      <c r="AD104" s="557">
        <f t="shared" si="139"/>
        <v>0</v>
      </c>
      <c r="AE104" s="557">
        <f t="shared" si="139"/>
        <v>0</v>
      </c>
      <c r="AF104" s="557">
        <f t="shared" si="139"/>
        <v>0</v>
      </c>
      <c r="AG104" s="557">
        <f t="shared" si="139"/>
        <v>0</v>
      </c>
      <c r="AH104" s="557">
        <f t="shared" si="139"/>
        <v>0</v>
      </c>
      <c r="AI104" s="557">
        <f t="shared" ref="AI104:AM104" si="151">ROUND($E104*AI44,0)</f>
        <v>0</v>
      </c>
      <c r="AJ104" s="557">
        <f t="shared" si="151"/>
        <v>0</v>
      </c>
      <c r="AK104" s="557">
        <f t="shared" si="151"/>
        <v>0</v>
      </c>
      <c r="AL104" s="557">
        <f t="shared" si="151"/>
        <v>0</v>
      </c>
      <c r="AM104" s="557">
        <f t="shared" si="151"/>
        <v>0</v>
      </c>
      <c r="AN104" s="558">
        <f t="shared" si="140"/>
        <v>0</v>
      </c>
      <c r="AO104" s="512">
        <f t="shared" si="133"/>
        <v>0</v>
      </c>
      <c r="AP104" s="599">
        <f t="shared" ref="AP104:AY104" si="152">ROUND($BE104*AP44,0)</f>
        <v>0</v>
      </c>
      <c r="AQ104" s="600">
        <f t="shared" si="152"/>
        <v>0</v>
      </c>
      <c r="AR104" s="600">
        <f t="shared" si="152"/>
        <v>0</v>
      </c>
      <c r="AS104" s="600">
        <f t="shared" si="152"/>
        <v>0</v>
      </c>
      <c r="AT104" s="600">
        <f t="shared" si="152"/>
        <v>0</v>
      </c>
      <c r="AU104" s="600">
        <f t="shared" si="152"/>
        <v>0</v>
      </c>
      <c r="AV104" s="600">
        <f t="shared" si="152"/>
        <v>0</v>
      </c>
      <c r="AW104" s="600">
        <f t="shared" si="152"/>
        <v>0</v>
      </c>
      <c r="AX104" s="600">
        <f t="shared" si="152"/>
        <v>0</v>
      </c>
      <c r="AY104" s="600">
        <f t="shared" si="152"/>
        <v>0</v>
      </c>
      <c r="AZ104" s="601">
        <f t="shared" si="142"/>
        <v>0</v>
      </c>
      <c r="BA104" s="851"/>
      <c r="BB104" s="33">
        <f t="shared" si="135"/>
        <v>0</v>
      </c>
      <c r="BC104" s="796">
        <f t="shared" si="136"/>
        <v>0</v>
      </c>
      <c r="BD104" s="796"/>
      <c r="BE104" s="260"/>
      <c r="BF104" s="175"/>
      <c r="BG104" s="175"/>
      <c r="BH104" s="175"/>
      <c r="BI104" s="175"/>
      <c r="BJ104" s="175"/>
      <c r="BK104" s="175"/>
      <c r="BL104" s="175"/>
      <c r="BM104" s="175"/>
      <c r="BR104" s="175"/>
      <c r="BS104"/>
      <c r="BT104" s="175"/>
      <c r="CD104" s="149"/>
    </row>
    <row r="105" spans="2:82" ht="25.5" hidden="1" customHeight="1" outlineLevel="1" thickTop="1" thickBot="1" x14ac:dyDescent="0.3">
      <c r="B105" s="33">
        <f t="shared" si="137"/>
        <v>0</v>
      </c>
      <c r="C105" s="796">
        <f t="shared" si="138"/>
        <v>0</v>
      </c>
      <c r="D105" s="796"/>
      <c r="E105" s="260"/>
      <c r="F105" s="806"/>
      <c r="G105" s="806"/>
      <c r="H105" s="806"/>
      <c r="I105" s="806"/>
      <c r="J105" s="806"/>
      <c r="K105" s="806"/>
      <c r="L105" s="806"/>
      <c r="M105" s="806"/>
      <c r="N105" s="806"/>
      <c r="O105" s="806"/>
      <c r="P105" s="806"/>
      <c r="Q105" s="806"/>
      <c r="R105" s="806"/>
      <c r="S105" s="806"/>
      <c r="T105" s="806"/>
      <c r="U105" s="806"/>
      <c r="V105" s="806"/>
      <c r="W105" s="806"/>
      <c r="X105" s="806"/>
      <c r="Y105" s="806"/>
      <c r="Z105" s="806"/>
      <c r="AA105" s="806"/>
      <c r="AB105" s="806"/>
      <c r="AC105" s="806"/>
      <c r="AD105" s="557">
        <f t="shared" si="139"/>
        <v>0</v>
      </c>
      <c r="AE105" s="557">
        <f t="shared" si="139"/>
        <v>0</v>
      </c>
      <c r="AF105" s="557">
        <f t="shared" si="139"/>
        <v>0</v>
      </c>
      <c r="AG105" s="557">
        <f t="shared" si="139"/>
        <v>0</v>
      </c>
      <c r="AH105" s="557">
        <f t="shared" si="139"/>
        <v>0</v>
      </c>
      <c r="AI105" s="557">
        <f t="shared" ref="AI105:AM105" si="153">ROUND($E105*AI45,0)</f>
        <v>0</v>
      </c>
      <c r="AJ105" s="557">
        <f t="shared" si="153"/>
        <v>0</v>
      </c>
      <c r="AK105" s="557">
        <f t="shared" si="153"/>
        <v>0</v>
      </c>
      <c r="AL105" s="557">
        <f t="shared" si="153"/>
        <v>0</v>
      </c>
      <c r="AM105" s="557">
        <f t="shared" si="153"/>
        <v>0</v>
      </c>
      <c r="AN105" s="558">
        <f t="shared" si="140"/>
        <v>0</v>
      </c>
      <c r="AO105" s="512">
        <f t="shared" si="133"/>
        <v>0</v>
      </c>
      <c r="AP105" s="599">
        <f t="shared" ref="AP105:AY105" si="154">ROUND($BE105*AP45,0)</f>
        <v>0</v>
      </c>
      <c r="AQ105" s="600">
        <f t="shared" si="154"/>
        <v>0</v>
      </c>
      <c r="AR105" s="600">
        <f t="shared" si="154"/>
        <v>0</v>
      </c>
      <c r="AS105" s="600">
        <f t="shared" si="154"/>
        <v>0</v>
      </c>
      <c r="AT105" s="600">
        <f t="shared" si="154"/>
        <v>0</v>
      </c>
      <c r="AU105" s="600">
        <f t="shared" si="154"/>
        <v>0</v>
      </c>
      <c r="AV105" s="600">
        <f t="shared" si="154"/>
        <v>0</v>
      </c>
      <c r="AW105" s="600">
        <f t="shared" si="154"/>
        <v>0</v>
      </c>
      <c r="AX105" s="600">
        <f t="shared" si="154"/>
        <v>0</v>
      </c>
      <c r="AY105" s="600">
        <f t="shared" si="154"/>
        <v>0</v>
      </c>
      <c r="AZ105" s="601">
        <f t="shared" si="142"/>
        <v>0</v>
      </c>
      <c r="BA105" s="851"/>
      <c r="BB105" s="33">
        <f t="shared" si="135"/>
        <v>0</v>
      </c>
      <c r="BC105" s="796">
        <f t="shared" si="136"/>
        <v>0</v>
      </c>
      <c r="BD105" s="796"/>
      <c r="BE105" s="260"/>
      <c r="BF105" s="175"/>
      <c r="BG105" s="175"/>
      <c r="BH105" s="175"/>
      <c r="BI105" s="175"/>
      <c r="BJ105" s="175"/>
      <c r="BK105" s="175"/>
      <c r="BL105" s="175"/>
      <c r="BM105" s="175"/>
      <c r="BR105" s="175"/>
      <c r="BS105"/>
      <c r="BT105" s="175"/>
      <c r="CD105" s="149"/>
    </row>
    <row r="106" spans="2:82" ht="25.5" hidden="1" customHeight="1" outlineLevel="1" thickTop="1" thickBot="1" x14ac:dyDescent="0.3">
      <c r="B106" s="33">
        <f t="shared" si="137"/>
        <v>0</v>
      </c>
      <c r="C106" s="796">
        <f t="shared" si="138"/>
        <v>0</v>
      </c>
      <c r="D106" s="796"/>
      <c r="E106" s="260"/>
      <c r="F106" s="806"/>
      <c r="G106" s="806"/>
      <c r="H106" s="806"/>
      <c r="I106" s="806"/>
      <c r="J106" s="806"/>
      <c r="K106" s="806"/>
      <c r="L106" s="806"/>
      <c r="M106" s="806"/>
      <c r="N106" s="806"/>
      <c r="O106" s="806"/>
      <c r="P106" s="806"/>
      <c r="Q106" s="806"/>
      <c r="R106" s="806"/>
      <c r="S106" s="806"/>
      <c r="T106" s="806"/>
      <c r="U106" s="806"/>
      <c r="V106" s="806"/>
      <c r="W106" s="806"/>
      <c r="X106" s="806"/>
      <c r="Y106" s="806"/>
      <c r="Z106" s="806"/>
      <c r="AA106" s="806"/>
      <c r="AB106" s="806"/>
      <c r="AC106" s="806"/>
      <c r="AD106" s="557">
        <f t="shared" si="139"/>
        <v>0</v>
      </c>
      <c r="AE106" s="557">
        <f t="shared" si="139"/>
        <v>0</v>
      </c>
      <c r="AF106" s="557">
        <f t="shared" si="139"/>
        <v>0</v>
      </c>
      <c r="AG106" s="557">
        <f t="shared" si="139"/>
        <v>0</v>
      </c>
      <c r="AH106" s="557">
        <f t="shared" si="139"/>
        <v>0</v>
      </c>
      <c r="AI106" s="557">
        <f t="shared" ref="AI106:AM106" si="155">ROUND($E106*AI46,0)</f>
        <v>0</v>
      </c>
      <c r="AJ106" s="557">
        <f t="shared" si="155"/>
        <v>0</v>
      </c>
      <c r="AK106" s="557">
        <f t="shared" si="155"/>
        <v>0</v>
      </c>
      <c r="AL106" s="557">
        <f t="shared" si="155"/>
        <v>0</v>
      </c>
      <c r="AM106" s="557">
        <f t="shared" si="155"/>
        <v>0</v>
      </c>
      <c r="AN106" s="558">
        <f t="shared" si="140"/>
        <v>0</v>
      </c>
      <c r="AO106" s="512">
        <f t="shared" si="133"/>
        <v>0</v>
      </c>
      <c r="AP106" s="599">
        <f t="shared" ref="AP106:AY106" si="156">ROUND($BE106*AP46,0)</f>
        <v>0</v>
      </c>
      <c r="AQ106" s="600">
        <f t="shared" si="156"/>
        <v>0</v>
      </c>
      <c r="AR106" s="600">
        <f t="shared" si="156"/>
        <v>0</v>
      </c>
      <c r="AS106" s="600">
        <f t="shared" si="156"/>
        <v>0</v>
      </c>
      <c r="AT106" s="600">
        <f t="shared" si="156"/>
        <v>0</v>
      </c>
      <c r="AU106" s="600">
        <f t="shared" si="156"/>
        <v>0</v>
      </c>
      <c r="AV106" s="600">
        <f t="shared" si="156"/>
        <v>0</v>
      </c>
      <c r="AW106" s="600">
        <f t="shared" si="156"/>
        <v>0</v>
      </c>
      <c r="AX106" s="600">
        <f t="shared" si="156"/>
        <v>0</v>
      </c>
      <c r="AY106" s="600">
        <f t="shared" si="156"/>
        <v>0</v>
      </c>
      <c r="AZ106" s="601">
        <f t="shared" si="142"/>
        <v>0</v>
      </c>
      <c r="BA106" s="851"/>
      <c r="BB106" s="33">
        <f t="shared" si="135"/>
        <v>0</v>
      </c>
      <c r="BC106" s="796">
        <f t="shared" si="136"/>
        <v>0</v>
      </c>
      <c r="BD106" s="796"/>
      <c r="BE106" s="260"/>
      <c r="BF106" s="175"/>
      <c r="BG106" s="175"/>
      <c r="BH106" s="175"/>
      <c r="BI106" s="175"/>
      <c r="BJ106" s="175"/>
      <c r="BK106" s="175"/>
      <c r="BL106" s="175"/>
      <c r="BM106" s="175"/>
      <c r="BR106" s="175"/>
      <c r="BS106"/>
      <c r="BT106" s="175"/>
      <c r="CD106" s="149"/>
    </row>
    <row r="107" spans="2:82" ht="25.5" hidden="1" customHeight="1" outlineLevel="1" thickTop="1" thickBot="1" x14ac:dyDescent="0.3">
      <c r="B107" s="33">
        <f t="shared" si="137"/>
        <v>0</v>
      </c>
      <c r="C107" s="796">
        <f t="shared" si="138"/>
        <v>0</v>
      </c>
      <c r="D107" s="796"/>
      <c r="E107" s="260"/>
      <c r="F107" s="806"/>
      <c r="G107" s="806"/>
      <c r="H107" s="806"/>
      <c r="I107" s="806"/>
      <c r="J107" s="806"/>
      <c r="K107" s="806"/>
      <c r="L107" s="806"/>
      <c r="M107" s="806"/>
      <c r="N107" s="806"/>
      <c r="O107" s="806"/>
      <c r="P107" s="806"/>
      <c r="Q107" s="806"/>
      <c r="R107" s="806"/>
      <c r="S107" s="806"/>
      <c r="T107" s="806"/>
      <c r="U107" s="806"/>
      <c r="V107" s="806"/>
      <c r="W107" s="806"/>
      <c r="X107" s="806"/>
      <c r="Y107" s="806"/>
      <c r="Z107" s="806"/>
      <c r="AA107" s="806"/>
      <c r="AB107" s="806"/>
      <c r="AC107" s="806"/>
      <c r="AD107" s="557">
        <f t="shared" si="139"/>
        <v>0</v>
      </c>
      <c r="AE107" s="557">
        <f t="shared" si="139"/>
        <v>0</v>
      </c>
      <c r="AF107" s="557">
        <f t="shared" si="139"/>
        <v>0</v>
      </c>
      <c r="AG107" s="557">
        <f t="shared" si="139"/>
        <v>0</v>
      </c>
      <c r="AH107" s="557">
        <f t="shared" si="139"/>
        <v>0</v>
      </c>
      <c r="AI107" s="557">
        <f t="shared" ref="AI107:AM107" si="157">ROUND($E107*AI47,0)</f>
        <v>0</v>
      </c>
      <c r="AJ107" s="557">
        <f t="shared" si="157"/>
        <v>0</v>
      </c>
      <c r="AK107" s="557">
        <f t="shared" si="157"/>
        <v>0</v>
      </c>
      <c r="AL107" s="557">
        <f t="shared" si="157"/>
        <v>0</v>
      </c>
      <c r="AM107" s="557">
        <f t="shared" si="157"/>
        <v>0</v>
      </c>
      <c r="AN107" s="558">
        <f t="shared" si="140"/>
        <v>0</v>
      </c>
      <c r="AO107" s="512">
        <f t="shared" si="133"/>
        <v>0</v>
      </c>
      <c r="AP107" s="599">
        <f t="shared" ref="AP107:AY107" si="158">ROUND($BE107*AP47,0)</f>
        <v>0</v>
      </c>
      <c r="AQ107" s="600">
        <f t="shared" si="158"/>
        <v>0</v>
      </c>
      <c r="AR107" s="600">
        <f t="shared" si="158"/>
        <v>0</v>
      </c>
      <c r="AS107" s="600">
        <f t="shared" si="158"/>
        <v>0</v>
      </c>
      <c r="AT107" s="600">
        <f t="shared" si="158"/>
        <v>0</v>
      </c>
      <c r="AU107" s="600">
        <f t="shared" si="158"/>
        <v>0</v>
      </c>
      <c r="AV107" s="600">
        <f t="shared" si="158"/>
        <v>0</v>
      </c>
      <c r="AW107" s="600">
        <f t="shared" si="158"/>
        <v>0</v>
      </c>
      <c r="AX107" s="600">
        <f t="shared" si="158"/>
        <v>0</v>
      </c>
      <c r="AY107" s="600">
        <f t="shared" si="158"/>
        <v>0</v>
      </c>
      <c r="AZ107" s="601">
        <f t="shared" si="142"/>
        <v>0</v>
      </c>
      <c r="BA107" s="851"/>
      <c r="BB107" s="33">
        <f t="shared" si="135"/>
        <v>0</v>
      </c>
      <c r="BC107" s="796">
        <f t="shared" si="136"/>
        <v>0</v>
      </c>
      <c r="BD107" s="796"/>
      <c r="BE107" s="260"/>
      <c r="BF107" s="175"/>
      <c r="BG107" s="175"/>
      <c r="BH107" s="175"/>
      <c r="BI107" s="175"/>
      <c r="BJ107" s="175"/>
      <c r="BK107" s="175"/>
      <c r="BL107" s="175"/>
      <c r="BM107" s="175"/>
      <c r="BR107" s="175"/>
      <c r="BS107"/>
      <c r="BT107" s="175"/>
      <c r="CD107" s="149"/>
    </row>
    <row r="108" spans="2:82" ht="25.5" hidden="1" customHeight="1" outlineLevel="1" thickTop="1" thickBot="1" x14ac:dyDescent="0.3">
      <c r="B108" s="33">
        <f t="shared" si="137"/>
        <v>0</v>
      </c>
      <c r="C108" s="796">
        <f t="shared" si="138"/>
        <v>0</v>
      </c>
      <c r="D108" s="796"/>
      <c r="E108" s="260"/>
      <c r="F108" s="806"/>
      <c r="G108" s="806"/>
      <c r="H108" s="806"/>
      <c r="I108" s="806"/>
      <c r="J108" s="806"/>
      <c r="K108" s="806"/>
      <c r="L108" s="806"/>
      <c r="M108" s="806"/>
      <c r="N108" s="806"/>
      <c r="O108" s="806"/>
      <c r="P108" s="806"/>
      <c r="Q108" s="806"/>
      <c r="R108" s="806"/>
      <c r="S108" s="806"/>
      <c r="T108" s="806"/>
      <c r="U108" s="806"/>
      <c r="V108" s="806"/>
      <c r="W108" s="806"/>
      <c r="X108" s="806"/>
      <c r="Y108" s="806"/>
      <c r="Z108" s="806"/>
      <c r="AA108" s="806"/>
      <c r="AB108" s="806"/>
      <c r="AC108" s="806"/>
      <c r="AD108" s="557">
        <f t="shared" si="139"/>
        <v>0</v>
      </c>
      <c r="AE108" s="557">
        <f t="shared" si="139"/>
        <v>0</v>
      </c>
      <c r="AF108" s="557">
        <f t="shared" si="139"/>
        <v>0</v>
      </c>
      <c r="AG108" s="557">
        <f t="shared" si="139"/>
        <v>0</v>
      </c>
      <c r="AH108" s="557">
        <f t="shared" si="139"/>
        <v>0</v>
      </c>
      <c r="AI108" s="557">
        <f t="shared" ref="AI108:AM108" si="159">ROUND($E108*AI48,0)</f>
        <v>0</v>
      </c>
      <c r="AJ108" s="557">
        <f t="shared" si="159"/>
        <v>0</v>
      </c>
      <c r="AK108" s="557">
        <f t="shared" si="159"/>
        <v>0</v>
      </c>
      <c r="AL108" s="557">
        <f t="shared" si="159"/>
        <v>0</v>
      </c>
      <c r="AM108" s="557">
        <f t="shared" si="159"/>
        <v>0</v>
      </c>
      <c r="AN108" s="558">
        <f t="shared" si="140"/>
        <v>0</v>
      </c>
      <c r="AO108" s="512">
        <f t="shared" si="133"/>
        <v>0</v>
      </c>
      <c r="AP108" s="599">
        <f t="shared" ref="AP108:AY108" si="160">ROUND($BE108*AP48,0)</f>
        <v>0</v>
      </c>
      <c r="AQ108" s="600">
        <f t="shared" si="160"/>
        <v>0</v>
      </c>
      <c r="AR108" s="600">
        <f t="shared" si="160"/>
        <v>0</v>
      </c>
      <c r="AS108" s="600">
        <f t="shared" si="160"/>
        <v>0</v>
      </c>
      <c r="AT108" s="600">
        <f t="shared" si="160"/>
        <v>0</v>
      </c>
      <c r="AU108" s="600">
        <f t="shared" si="160"/>
        <v>0</v>
      </c>
      <c r="AV108" s="600">
        <f t="shared" si="160"/>
        <v>0</v>
      </c>
      <c r="AW108" s="600">
        <f t="shared" si="160"/>
        <v>0</v>
      </c>
      <c r="AX108" s="600">
        <f t="shared" si="160"/>
        <v>0</v>
      </c>
      <c r="AY108" s="600">
        <f t="shared" si="160"/>
        <v>0</v>
      </c>
      <c r="AZ108" s="601">
        <f t="shared" si="142"/>
        <v>0</v>
      </c>
      <c r="BA108" s="851"/>
      <c r="BB108" s="33">
        <f t="shared" si="135"/>
        <v>0</v>
      </c>
      <c r="BC108" s="796">
        <f t="shared" si="136"/>
        <v>0</v>
      </c>
      <c r="BD108" s="796"/>
      <c r="BE108" s="260"/>
      <c r="BF108" s="175"/>
      <c r="BG108" s="175"/>
      <c r="BH108" s="175"/>
      <c r="BI108" s="175"/>
      <c r="BJ108" s="175"/>
      <c r="BK108" s="175"/>
      <c r="BL108" s="175"/>
      <c r="BM108" s="175"/>
      <c r="BR108" s="175"/>
      <c r="BS108"/>
      <c r="BT108" s="175"/>
      <c r="CD108" s="149"/>
    </row>
    <row r="109" spans="2:82" ht="25.5" hidden="1" customHeight="1" outlineLevel="1" thickTop="1" thickBot="1" x14ac:dyDescent="0.3">
      <c r="B109" s="33">
        <f>B49</f>
        <v>0</v>
      </c>
      <c r="C109" s="796">
        <f t="shared" si="138"/>
        <v>0</v>
      </c>
      <c r="D109" s="796"/>
      <c r="E109" s="260"/>
      <c r="F109" s="806"/>
      <c r="G109" s="806"/>
      <c r="H109" s="806"/>
      <c r="I109" s="806"/>
      <c r="J109" s="806"/>
      <c r="K109" s="806"/>
      <c r="L109" s="806"/>
      <c r="M109" s="806"/>
      <c r="N109" s="806"/>
      <c r="O109" s="806"/>
      <c r="P109" s="806"/>
      <c r="Q109" s="806"/>
      <c r="R109" s="806"/>
      <c r="S109" s="806"/>
      <c r="T109" s="806"/>
      <c r="U109" s="806"/>
      <c r="V109" s="806"/>
      <c r="W109" s="806"/>
      <c r="X109" s="806"/>
      <c r="Y109" s="806"/>
      <c r="Z109" s="806"/>
      <c r="AA109" s="806"/>
      <c r="AB109" s="806"/>
      <c r="AC109" s="806"/>
      <c r="AD109" s="557">
        <f t="shared" si="139"/>
        <v>0</v>
      </c>
      <c r="AE109" s="557">
        <f t="shared" si="139"/>
        <v>0</v>
      </c>
      <c r="AF109" s="557">
        <f t="shared" ref="AF109:AM113" si="161">ROUND($E109*AF49,0)</f>
        <v>0</v>
      </c>
      <c r="AG109" s="557">
        <f t="shared" si="161"/>
        <v>0</v>
      </c>
      <c r="AH109" s="557">
        <f t="shared" si="161"/>
        <v>0</v>
      </c>
      <c r="AI109" s="557">
        <f t="shared" si="161"/>
        <v>0</v>
      </c>
      <c r="AJ109" s="557">
        <f t="shared" si="161"/>
        <v>0</v>
      </c>
      <c r="AK109" s="557">
        <f t="shared" si="161"/>
        <v>0</v>
      </c>
      <c r="AL109" s="557">
        <f t="shared" si="161"/>
        <v>0</v>
      </c>
      <c r="AM109" s="557">
        <f t="shared" si="161"/>
        <v>0</v>
      </c>
      <c r="AN109" s="558">
        <f t="shared" si="140"/>
        <v>0</v>
      </c>
      <c r="AO109" s="512">
        <f t="shared" si="133"/>
        <v>0</v>
      </c>
      <c r="AP109" s="599">
        <f t="shared" ref="AP109:AY109" si="162">ROUND($BE109*AP49,0)</f>
        <v>0</v>
      </c>
      <c r="AQ109" s="600">
        <f t="shared" si="162"/>
        <v>0</v>
      </c>
      <c r="AR109" s="600">
        <f t="shared" si="162"/>
        <v>0</v>
      </c>
      <c r="AS109" s="600">
        <f t="shared" si="162"/>
        <v>0</v>
      </c>
      <c r="AT109" s="600">
        <f t="shared" si="162"/>
        <v>0</v>
      </c>
      <c r="AU109" s="600">
        <f t="shared" si="162"/>
        <v>0</v>
      </c>
      <c r="AV109" s="600">
        <f t="shared" si="162"/>
        <v>0</v>
      </c>
      <c r="AW109" s="600">
        <f t="shared" si="162"/>
        <v>0</v>
      </c>
      <c r="AX109" s="600">
        <f t="shared" si="162"/>
        <v>0</v>
      </c>
      <c r="AY109" s="600">
        <f t="shared" si="162"/>
        <v>0</v>
      </c>
      <c r="AZ109" s="601">
        <f t="shared" si="142"/>
        <v>0</v>
      </c>
      <c r="BA109" s="851"/>
      <c r="BB109" s="33">
        <f t="shared" si="135"/>
        <v>0</v>
      </c>
      <c r="BC109" s="796">
        <f t="shared" si="136"/>
        <v>0</v>
      </c>
      <c r="BD109" s="796"/>
      <c r="BE109" s="260"/>
      <c r="BF109" s="175"/>
      <c r="BG109" s="175"/>
      <c r="BH109" s="175"/>
      <c r="BI109" s="175"/>
      <c r="BJ109" s="175"/>
      <c r="BK109" s="175"/>
      <c r="BL109" s="175"/>
      <c r="BM109" s="175"/>
      <c r="BR109" s="175"/>
      <c r="BS109"/>
      <c r="BT109" s="175"/>
      <c r="CD109" s="149"/>
    </row>
    <row r="110" spans="2:82" ht="25.5" hidden="1" customHeight="1" outlineLevel="1" thickTop="1" thickBot="1" x14ac:dyDescent="0.3">
      <c r="B110" s="33">
        <f>B50</f>
        <v>0</v>
      </c>
      <c r="C110" s="796">
        <f t="shared" si="138"/>
        <v>0</v>
      </c>
      <c r="D110" s="796"/>
      <c r="E110" s="260"/>
      <c r="F110" s="806"/>
      <c r="G110" s="806"/>
      <c r="H110" s="806"/>
      <c r="I110" s="806"/>
      <c r="J110" s="806"/>
      <c r="K110" s="806"/>
      <c r="L110" s="806"/>
      <c r="M110" s="806"/>
      <c r="N110" s="806"/>
      <c r="O110" s="806"/>
      <c r="P110" s="806"/>
      <c r="Q110" s="806"/>
      <c r="R110" s="806"/>
      <c r="S110" s="806"/>
      <c r="T110" s="806"/>
      <c r="U110" s="806"/>
      <c r="V110" s="806"/>
      <c r="W110" s="806"/>
      <c r="X110" s="806"/>
      <c r="Y110" s="806"/>
      <c r="Z110" s="806"/>
      <c r="AA110" s="806"/>
      <c r="AB110" s="806"/>
      <c r="AC110" s="806"/>
      <c r="AD110" s="557">
        <f t="shared" ref="AD110:AE113" si="163">ROUND($E110*AD50,0)</f>
        <v>0</v>
      </c>
      <c r="AE110" s="557">
        <f t="shared" si="163"/>
        <v>0</v>
      </c>
      <c r="AF110" s="557">
        <f t="shared" si="161"/>
        <v>0</v>
      </c>
      <c r="AG110" s="557">
        <f t="shared" si="161"/>
        <v>0</v>
      </c>
      <c r="AH110" s="557">
        <f t="shared" si="161"/>
        <v>0</v>
      </c>
      <c r="AI110" s="557">
        <f t="shared" si="161"/>
        <v>0</v>
      </c>
      <c r="AJ110" s="557">
        <f t="shared" si="161"/>
        <v>0</v>
      </c>
      <c r="AK110" s="557">
        <f t="shared" si="161"/>
        <v>0</v>
      </c>
      <c r="AL110" s="557">
        <f t="shared" si="161"/>
        <v>0</v>
      </c>
      <c r="AM110" s="557">
        <f t="shared" si="161"/>
        <v>0</v>
      </c>
      <c r="AN110" s="558">
        <f t="shared" si="140"/>
        <v>0</v>
      </c>
      <c r="AO110" s="512">
        <f t="shared" si="133"/>
        <v>0</v>
      </c>
      <c r="AP110" s="599">
        <f t="shared" ref="AP110:AY110" si="164">ROUND($BE110*AP50,0)</f>
        <v>0</v>
      </c>
      <c r="AQ110" s="600">
        <f t="shared" si="164"/>
        <v>0</v>
      </c>
      <c r="AR110" s="600">
        <f t="shared" si="164"/>
        <v>0</v>
      </c>
      <c r="AS110" s="600">
        <f t="shared" si="164"/>
        <v>0</v>
      </c>
      <c r="AT110" s="600">
        <f t="shared" si="164"/>
        <v>0</v>
      </c>
      <c r="AU110" s="600">
        <f t="shared" si="164"/>
        <v>0</v>
      </c>
      <c r="AV110" s="600">
        <f t="shared" si="164"/>
        <v>0</v>
      </c>
      <c r="AW110" s="600">
        <f t="shared" si="164"/>
        <v>0</v>
      </c>
      <c r="AX110" s="600">
        <f t="shared" si="164"/>
        <v>0</v>
      </c>
      <c r="AY110" s="600">
        <f t="shared" si="164"/>
        <v>0</v>
      </c>
      <c r="AZ110" s="601">
        <f t="shared" si="142"/>
        <v>0</v>
      </c>
      <c r="BA110" s="851"/>
      <c r="BB110" s="33">
        <f t="shared" si="135"/>
        <v>0</v>
      </c>
      <c r="BC110" s="796">
        <f t="shared" si="136"/>
        <v>0</v>
      </c>
      <c r="BD110" s="796"/>
      <c r="BE110" s="260"/>
      <c r="BF110" s="175"/>
      <c r="BG110" s="175"/>
      <c r="BH110" s="175"/>
      <c r="BI110" s="175"/>
      <c r="BJ110" s="175"/>
      <c r="BK110" s="175"/>
      <c r="BL110" s="175"/>
      <c r="BM110" s="175"/>
      <c r="BR110" s="175"/>
      <c r="BS110"/>
      <c r="BT110" s="175"/>
      <c r="CD110" s="149"/>
    </row>
    <row r="111" spans="2:82" ht="25.5" hidden="1" customHeight="1" outlineLevel="1" thickTop="1" thickBot="1" x14ac:dyDescent="0.3">
      <c r="B111" s="33">
        <f>B51</f>
        <v>0</v>
      </c>
      <c r="C111" s="796">
        <f t="shared" si="138"/>
        <v>0</v>
      </c>
      <c r="D111" s="796"/>
      <c r="E111" s="260"/>
      <c r="F111" s="806"/>
      <c r="G111" s="806"/>
      <c r="H111" s="806"/>
      <c r="I111" s="806"/>
      <c r="J111" s="806"/>
      <c r="K111" s="806"/>
      <c r="L111" s="806"/>
      <c r="M111" s="806"/>
      <c r="N111" s="806"/>
      <c r="O111" s="806"/>
      <c r="P111" s="806"/>
      <c r="Q111" s="806"/>
      <c r="R111" s="806"/>
      <c r="S111" s="806"/>
      <c r="T111" s="806"/>
      <c r="U111" s="806"/>
      <c r="V111" s="806"/>
      <c r="W111" s="806"/>
      <c r="X111" s="806"/>
      <c r="Y111" s="806"/>
      <c r="Z111" s="806"/>
      <c r="AA111" s="806"/>
      <c r="AB111" s="806"/>
      <c r="AC111" s="806"/>
      <c r="AD111" s="557">
        <f t="shared" si="163"/>
        <v>0</v>
      </c>
      <c r="AE111" s="557">
        <f t="shared" si="163"/>
        <v>0</v>
      </c>
      <c r="AF111" s="557">
        <f t="shared" si="161"/>
        <v>0</v>
      </c>
      <c r="AG111" s="557">
        <f t="shared" si="161"/>
        <v>0</v>
      </c>
      <c r="AH111" s="557">
        <f t="shared" si="161"/>
        <v>0</v>
      </c>
      <c r="AI111" s="557">
        <f t="shared" si="161"/>
        <v>0</v>
      </c>
      <c r="AJ111" s="557">
        <f t="shared" si="161"/>
        <v>0</v>
      </c>
      <c r="AK111" s="557">
        <f t="shared" si="161"/>
        <v>0</v>
      </c>
      <c r="AL111" s="557">
        <f t="shared" si="161"/>
        <v>0</v>
      </c>
      <c r="AM111" s="557">
        <f t="shared" si="161"/>
        <v>0</v>
      </c>
      <c r="AN111" s="558">
        <f t="shared" si="140"/>
        <v>0</v>
      </c>
      <c r="AO111" s="512">
        <f t="shared" si="133"/>
        <v>0</v>
      </c>
      <c r="AP111" s="599">
        <f t="shared" ref="AP111:AY111" si="165">ROUND($BE111*AP51,0)</f>
        <v>0</v>
      </c>
      <c r="AQ111" s="600">
        <f t="shared" si="165"/>
        <v>0</v>
      </c>
      <c r="AR111" s="600">
        <f t="shared" si="165"/>
        <v>0</v>
      </c>
      <c r="AS111" s="600">
        <f t="shared" si="165"/>
        <v>0</v>
      </c>
      <c r="AT111" s="600">
        <f t="shared" si="165"/>
        <v>0</v>
      </c>
      <c r="AU111" s="600">
        <f t="shared" si="165"/>
        <v>0</v>
      </c>
      <c r="AV111" s="600">
        <f t="shared" si="165"/>
        <v>0</v>
      </c>
      <c r="AW111" s="600">
        <f t="shared" si="165"/>
        <v>0</v>
      </c>
      <c r="AX111" s="600">
        <f t="shared" si="165"/>
        <v>0</v>
      </c>
      <c r="AY111" s="600">
        <f t="shared" si="165"/>
        <v>0</v>
      </c>
      <c r="AZ111" s="601">
        <f t="shared" si="142"/>
        <v>0</v>
      </c>
      <c r="BA111" s="851"/>
      <c r="BB111" s="33">
        <f t="shared" si="135"/>
        <v>0</v>
      </c>
      <c r="BC111" s="796">
        <f t="shared" si="136"/>
        <v>0</v>
      </c>
      <c r="BD111" s="796"/>
      <c r="BE111" s="260"/>
      <c r="BF111" s="175"/>
      <c r="BG111" s="175"/>
      <c r="BH111" s="175"/>
      <c r="BI111" s="175"/>
      <c r="BJ111" s="175"/>
      <c r="BK111" s="175"/>
      <c r="BL111" s="175"/>
      <c r="BM111" s="175"/>
      <c r="BR111" s="175"/>
      <c r="BS111"/>
      <c r="BT111" s="175"/>
      <c r="CD111" s="149"/>
    </row>
    <row r="112" spans="2:82" ht="25.5" hidden="1" customHeight="1" outlineLevel="1" thickTop="1" thickBot="1" x14ac:dyDescent="0.3">
      <c r="B112" s="33">
        <f>B52</f>
        <v>0</v>
      </c>
      <c r="C112" s="796">
        <f t="shared" si="138"/>
        <v>0</v>
      </c>
      <c r="D112" s="796"/>
      <c r="E112" s="261"/>
      <c r="F112" s="806"/>
      <c r="G112" s="806"/>
      <c r="H112" s="806"/>
      <c r="I112" s="806"/>
      <c r="J112" s="806"/>
      <c r="K112" s="806"/>
      <c r="L112" s="806"/>
      <c r="M112" s="806"/>
      <c r="N112" s="806"/>
      <c r="O112" s="806"/>
      <c r="P112" s="806"/>
      <c r="Q112" s="806"/>
      <c r="R112" s="806"/>
      <c r="S112" s="806"/>
      <c r="T112" s="806"/>
      <c r="U112" s="806"/>
      <c r="V112" s="806"/>
      <c r="W112" s="806"/>
      <c r="X112" s="806"/>
      <c r="Y112" s="806"/>
      <c r="Z112" s="806"/>
      <c r="AA112" s="806"/>
      <c r="AB112" s="806"/>
      <c r="AC112" s="806"/>
      <c r="AD112" s="557">
        <f t="shared" si="163"/>
        <v>0</v>
      </c>
      <c r="AE112" s="557">
        <f t="shared" si="163"/>
        <v>0</v>
      </c>
      <c r="AF112" s="557">
        <f t="shared" si="161"/>
        <v>0</v>
      </c>
      <c r="AG112" s="557">
        <f t="shared" si="161"/>
        <v>0</v>
      </c>
      <c r="AH112" s="557">
        <f t="shared" si="161"/>
        <v>0</v>
      </c>
      <c r="AI112" s="557">
        <f t="shared" si="161"/>
        <v>0</v>
      </c>
      <c r="AJ112" s="557">
        <f t="shared" si="161"/>
        <v>0</v>
      </c>
      <c r="AK112" s="557">
        <f t="shared" si="161"/>
        <v>0</v>
      </c>
      <c r="AL112" s="557">
        <f t="shared" si="161"/>
        <v>0</v>
      </c>
      <c r="AM112" s="557">
        <f t="shared" si="161"/>
        <v>0</v>
      </c>
      <c r="AN112" s="558">
        <f t="shared" si="140"/>
        <v>0</v>
      </c>
      <c r="AO112" s="512">
        <f t="shared" si="133"/>
        <v>0</v>
      </c>
      <c r="AP112" s="599">
        <f t="shared" ref="AP112:AY112" si="166">ROUND($BE112*AP52,0)</f>
        <v>0</v>
      </c>
      <c r="AQ112" s="600">
        <f t="shared" si="166"/>
        <v>0</v>
      </c>
      <c r="AR112" s="600">
        <f t="shared" si="166"/>
        <v>0</v>
      </c>
      <c r="AS112" s="600">
        <f t="shared" si="166"/>
        <v>0</v>
      </c>
      <c r="AT112" s="600">
        <f t="shared" si="166"/>
        <v>0</v>
      </c>
      <c r="AU112" s="600">
        <f t="shared" si="166"/>
        <v>0</v>
      </c>
      <c r="AV112" s="600">
        <f t="shared" si="166"/>
        <v>0</v>
      </c>
      <c r="AW112" s="600">
        <f t="shared" si="166"/>
        <v>0</v>
      </c>
      <c r="AX112" s="600">
        <f t="shared" si="166"/>
        <v>0</v>
      </c>
      <c r="AY112" s="600">
        <f t="shared" si="166"/>
        <v>0</v>
      </c>
      <c r="AZ112" s="601">
        <f t="shared" si="142"/>
        <v>0</v>
      </c>
      <c r="BA112" s="851"/>
      <c r="BB112" s="33">
        <f t="shared" si="135"/>
        <v>0</v>
      </c>
      <c r="BC112" s="796">
        <f t="shared" si="136"/>
        <v>0</v>
      </c>
      <c r="BD112" s="796"/>
      <c r="BE112" s="261"/>
      <c r="BF112" s="175"/>
      <c r="BG112" s="175"/>
      <c r="BH112" s="175"/>
      <c r="BI112" s="175"/>
      <c r="BJ112" s="175"/>
      <c r="BK112" s="175"/>
      <c r="BL112" s="175"/>
      <c r="BM112" s="175"/>
      <c r="BR112" s="175"/>
      <c r="BS112"/>
      <c r="BT112" s="175"/>
      <c r="CD112" s="149"/>
    </row>
    <row r="113" spans="1:85" ht="25.5" hidden="1" customHeight="1" outlineLevel="1" thickTop="1" thickBot="1" x14ac:dyDescent="0.3">
      <c r="B113" s="33">
        <f>B53</f>
        <v>0</v>
      </c>
      <c r="C113" s="796">
        <f>C53</f>
        <v>0</v>
      </c>
      <c r="D113" s="796"/>
      <c r="E113" s="261"/>
      <c r="F113" s="806"/>
      <c r="G113" s="806"/>
      <c r="H113" s="806"/>
      <c r="I113" s="806"/>
      <c r="J113" s="806"/>
      <c r="K113" s="806"/>
      <c r="L113" s="806"/>
      <c r="M113" s="806"/>
      <c r="N113" s="806"/>
      <c r="O113" s="806"/>
      <c r="P113" s="806"/>
      <c r="Q113" s="806"/>
      <c r="R113" s="806"/>
      <c r="S113" s="806"/>
      <c r="T113" s="806"/>
      <c r="U113" s="806"/>
      <c r="V113" s="806"/>
      <c r="W113" s="806"/>
      <c r="X113" s="806"/>
      <c r="Y113" s="806"/>
      <c r="Z113" s="806"/>
      <c r="AA113" s="806"/>
      <c r="AB113" s="806"/>
      <c r="AC113" s="806"/>
      <c r="AD113" s="557">
        <f t="shared" si="163"/>
        <v>0</v>
      </c>
      <c r="AE113" s="557">
        <f t="shared" si="163"/>
        <v>0</v>
      </c>
      <c r="AF113" s="557">
        <f t="shared" si="161"/>
        <v>0</v>
      </c>
      <c r="AG113" s="557">
        <f t="shared" si="161"/>
        <v>0</v>
      </c>
      <c r="AH113" s="557">
        <f t="shared" si="161"/>
        <v>0</v>
      </c>
      <c r="AI113" s="557">
        <f t="shared" si="161"/>
        <v>0</v>
      </c>
      <c r="AJ113" s="557">
        <f t="shared" si="161"/>
        <v>0</v>
      </c>
      <c r="AK113" s="557">
        <f t="shared" si="161"/>
        <v>0</v>
      </c>
      <c r="AL113" s="557">
        <f t="shared" si="161"/>
        <v>0</v>
      </c>
      <c r="AM113" s="557">
        <f t="shared" si="161"/>
        <v>0</v>
      </c>
      <c r="AN113" s="558">
        <f t="shared" si="140"/>
        <v>0</v>
      </c>
      <c r="AO113" s="512">
        <f t="shared" si="133"/>
        <v>0</v>
      </c>
      <c r="AP113" s="599">
        <f t="shared" ref="AP113:AY113" si="167">ROUND($BE113*AP53,0)</f>
        <v>0</v>
      </c>
      <c r="AQ113" s="600">
        <f t="shared" si="167"/>
        <v>0</v>
      </c>
      <c r="AR113" s="600">
        <f t="shared" si="167"/>
        <v>0</v>
      </c>
      <c r="AS113" s="600">
        <f t="shared" si="167"/>
        <v>0</v>
      </c>
      <c r="AT113" s="600">
        <f t="shared" si="167"/>
        <v>0</v>
      </c>
      <c r="AU113" s="600">
        <f t="shared" si="167"/>
        <v>0</v>
      </c>
      <c r="AV113" s="600">
        <f t="shared" si="167"/>
        <v>0</v>
      </c>
      <c r="AW113" s="600">
        <f t="shared" si="167"/>
        <v>0</v>
      </c>
      <c r="AX113" s="600">
        <f t="shared" si="167"/>
        <v>0</v>
      </c>
      <c r="AY113" s="600">
        <f t="shared" si="167"/>
        <v>0</v>
      </c>
      <c r="AZ113" s="601">
        <f t="shared" si="142"/>
        <v>0</v>
      </c>
      <c r="BA113" s="851"/>
      <c r="BB113" s="33">
        <f t="shared" si="135"/>
        <v>0</v>
      </c>
      <c r="BC113" s="796">
        <f t="shared" si="136"/>
        <v>0</v>
      </c>
      <c r="BD113" s="796"/>
      <c r="BE113" s="261"/>
      <c r="BF113" s="175"/>
      <c r="BG113" s="175"/>
      <c r="BH113" s="175"/>
      <c r="BI113" s="175"/>
      <c r="BJ113" s="175"/>
      <c r="BK113" s="175"/>
      <c r="BL113" s="175"/>
      <c r="BM113" s="175"/>
      <c r="BR113" s="175"/>
      <c r="BS113"/>
      <c r="BT113" s="175"/>
      <c r="CD113" s="149"/>
    </row>
    <row r="114" spans="1:85" ht="32.25" customHeight="1" collapsed="1" thickTop="1" x14ac:dyDescent="0.25">
      <c r="B114" s="723" t="s">
        <v>224</v>
      </c>
      <c r="C114" s="723"/>
      <c r="D114" s="723"/>
      <c r="E114" s="723"/>
      <c r="F114" s="723"/>
      <c r="G114" s="723"/>
      <c r="H114" s="723"/>
      <c r="I114" s="723"/>
      <c r="J114" s="723"/>
      <c r="K114" s="723"/>
      <c r="L114" s="723"/>
      <c r="M114" s="723"/>
      <c r="N114" s="723"/>
      <c r="O114" s="723"/>
      <c r="P114" s="723"/>
      <c r="Q114" s="723"/>
      <c r="R114" s="723"/>
      <c r="S114" s="723"/>
      <c r="T114" s="723"/>
      <c r="U114" s="723"/>
      <c r="V114" s="326"/>
      <c r="W114" s="326"/>
      <c r="X114" s="326"/>
      <c r="Y114" s="326"/>
      <c r="Z114" s="326"/>
      <c r="AA114" s="326"/>
      <c r="AB114" s="326"/>
      <c r="AC114" s="326"/>
      <c r="AD114" s="559">
        <f>SUM(AD94:AD113)</f>
        <v>0</v>
      </c>
      <c r="AE114" s="559">
        <f t="shared" ref="AE114:AM114" si="168">SUM(AE94:AE113)</f>
        <v>0</v>
      </c>
      <c r="AF114" s="559">
        <f t="shared" si="168"/>
        <v>0</v>
      </c>
      <c r="AG114" s="559">
        <f t="shared" si="168"/>
        <v>0</v>
      </c>
      <c r="AH114" s="559">
        <f t="shared" si="168"/>
        <v>0</v>
      </c>
      <c r="AI114" s="559">
        <f t="shared" si="168"/>
        <v>0</v>
      </c>
      <c r="AJ114" s="559">
        <f t="shared" si="168"/>
        <v>0</v>
      </c>
      <c r="AK114" s="559">
        <f t="shared" si="168"/>
        <v>0</v>
      </c>
      <c r="AL114" s="559">
        <f t="shared" si="168"/>
        <v>0</v>
      </c>
      <c r="AM114" s="559">
        <f t="shared" si="168"/>
        <v>0</v>
      </c>
      <c r="AN114" s="559">
        <f>SUM(AN94:AN113)</f>
        <v>0</v>
      </c>
      <c r="AO114" s="512">
        <f t="shared" si="133"/>
        <v>0</v>
      </c>
      <c r="AP114" s="589">
        <f t="shared" ref="AP114:AY114" si="169">SUM(AP94:AP113)</f>
        <v>0</v>
      </c>
      <c r="AQ114" s="589">
        <f t="shared" si="169"/>
        <v>0</v>
      </c>
      <c r="AR114" s="589">
        <f t="shared" si="169"/>
        <v>0</v>
      </c>
      <c r="AS114" s="589">
        <f t="shared" si="169"/>
        <v>0</v>
      </c>
      <c r="AT114" s="589">
        <f t="shared" si="169"/>
        <v>0</v>
      </c>
      <c r="AU114" s="589">
        <f t="shared" si="169"/>
        <v>0</v>
      </c>
      <c r="AV114" s="589">
        <f t="shared" si="169"/>
        <v>0</v>
      </c>
      <c r="AW114" s="589">
        <f t="shared" si="169"/>
        <v>0</v>
      </c>
      <c r="AX114" s="589">
        <f t="shared" si="169"/>
        <v>0</v>
      </c>
      <c r="AY114" s="589">
        <f t="shared" si="169"/>
        <v>0</v>
      </c>
      <c r="AZ114" s="589">
        <f>SUM(AZ94:AZ113)</f>
        <v>0</v>
      </c>
      <c r="BA114" s="380"/>
      <c r="BB114" s="730" t="s">
        <v>224</v>
      </c>
      <c r="BC114" s="730"/>
      <c r="BD114" s="730"/>
      <c r="BE114" s="730"/>
      <c r="BF114" s="730"/>
      <c r="BG114" s="730"/>
      <c r="BH114" s="730"/>
      <c r="BI114" s="730"/>
      <c r="BJ114" s="730"/>
      <c r="BK114" s="730"/>
      <c r="BL114" s="730"/>
      <c r="BM114" s="730"/>
      <c r="BN114" s="730"/>
      <c r="BO114" s="730"/>
      <c r="BP114" s="730"/>
      <c r="BQ114" s="730"/>
      <c r="BR114" s="730"/>
      <c r="BS114" s="730"/>
      <c r="BT114" s="730"/>
      <c r="BU114" s="730"/>
      <c r="BV114" s="730"/>
      <c r="BW114" s="730"/>
      <c r="BX114" s="730"/>
      <c r="BY114" s="730"/>
      <c r="BZ114" s="730"/>
      <c r="CA114" s="730"/>
      <c r="CB114" s="730"/>
      <c r="CC114" s="730"/>
      <c r="CD114" s="731"/>
      <c r="CE114" s="28"/>
    </row>
    <row r="115" spans="1:85" ht="46.5" customHeight="1" thickBot="1" x14ac:dyDescent="0.35">
      <c r="B115" s="740" t="s">
        <v>225</v>
      </c>
      <c r="C115" s="740"/>
      <c r="D115" s="740"/>
      <c r="E115" s="740"/>
      <c r="F115" s="740"/>
      <c r="G115" s="740"/>
      <c r="H115" s="740"/>
      <c r="I115" s="740"/>
      <c r="J115" s="740"/>
      <c r="K115" s="740"/>
      <c r="L115" s="740"/>
      <c r="M115" s="740"/>
      <c r="N115" s="740"/>
      <c r="O115" s="740"/>
      <c r="P115" s="740"/>
      <c r="Q115" s="740"/>
      <c r="R115" s="740"/>
      <c r="S115" s="740"/>
      <c r="T115" s="740"/>
      <c r="U115" s="740"/>
      <c r="V115" s="740"/>
      <c r="W115" s="740"/>
      <c r="X115" s="740"/>
      <c r="Y115" s="740"/>
      <c r="Z115" s="740"/>
      <c r="AA115" s="740"/>
      <c r="AB115" s="740"/>
      <c r="AC115" s="740"/>
      <c r="AD115" s="740"/>
      <c r="AE115" s="740"/>
      <c r="AF115" s="740"/>
      <c r="AG115" s="740"/>
      <c r="AH115" s="740"/>
      <c r="AI115" s="740"/>
      <c r="AJ115" s="740"/>
      <c r="AK115" s="740"/>
      <c r="AL115" s="740"/>
      <c r="AM115" s="740"/>
      <c r="AN115" s="740"/>
      <c r="AO115" s="520"/>
      <c r="AP115" s="690" t="s">
        <v>226</v>
      </c>
      <c r="AQ115" s="690"/>
      <c r="AR115" s="690"/>
      <c r="AS115" s="690"/>
      <c r="AT115" s="690"/>
      <c r="AU115" s="690"/>
      <c r="AV115" s="690"/>
      <c r="AW115" s="690"/>
      <c r="AX115" s="690"/>
      <c r="AY115" s="690"/>
      <c r="AZ115" s="690"/>
      <c r="BA115" s="690"/>
      <c r="BB115" s="690"/>
      <c r="BC115" s="690"/>
      <c r="BD115" s="690"/>
      <c r="BE115" s="690"/>
      <c r="BF115" s="690"/>
      <c r="BG115" s="690"/>
      <c r="BH115" s="690"/>
      <c r="BI115" s="690"/>
      <c r="BJ115" s="690"/>
      <c r="BK115" s="690"/>
      <c r="BL115" s="690"/>
      <c r="BM115" s="690"/>
      <c r="BN115" s="690"/>
      <c r="BO115" s="690"/>
      <c r="BP115" s="690"/>
      <c r="BQ115" s="690"/>
      <c r="BR115" s="690"/>
      <c r="BS115" s="690"/>
      <c r="BT115" s="690"/>
      <c r="BU115" s="690"/>
      <c r="BV115" s="690"/>
      <c r="BW115" s="690"/>
      <c r="BX115" s="690"/>
      <c r="BY115" s="690"/>
      <c r="BZ115" s="690"/>
      <c r="CA115" s="690"/>
      <c r="CB115" s="690"/>
      <c r="CC115" s="690"/>
      <c r="CD115" s="690"/>
    </row>
    <row r="116" spans="1:85" ht="39" customHeight="1" thickTop="1" thickBot="1" x14ac:dyDescent="0.3">
      <c r="B116" s="293" t="s">
        <v>158</v>
      </c>
      <c r="C116" s="294" t="s">
        <v>159</v>
      </c>
      <c r="D116" s="294" t="s">
        <v>75</v>
      </c>
      <c r="E116" s="294" t="s">
        <v>219</v>
      </c>
      <c r="F116" s="827" t="s">
        <v>227</v>
      </c>
      <c r="G116" s="827"/>
      <c r="H116" s="827"/>
      <c r="I116" s="827"/>
      <c r="J116" s="827"/>
      <c r="K116" s="827"/>
      <c r="L116" s="827"/>
      <c r="M116" s="827"/>
      <c r="N116" s="827"/>
      <c r="O116" s="827"/>
      <c r="P116" s="827"/>
      <c r="Q116" s="827"/>
      <c r="R116" s="827"/>
      <c r="S116" s="827"/>
      <c r="T116" s="827"/>
      <c r="U116" s="827"/>
      <c r="V116" s="827"/>
      <c r="W116" s="827"/>
      <c r="X116" s="827"/>
      <c r="Y116" s="827"/>
      <c r="Z116" s="827"/>
      <c r="AA116" s="827"/>
      <c r="AB116" s="827"/>
      <c r="AC116" s="827"/>
      <c r="AD116" s="54" t="s">
        <v>228</v>
      </c>
      <c r="AE116" s="54" t="s">
        <v>229</v>
      </c>
      <c r="AF116" s="54" t="s">
        <v>230</v>
      </c>
      <c r="AG116" s="54" t="s">
        <v>231</v>
      </c>
      <c r="AH116" s="54" t="s">
        <v>232</v>
      </c>
      <c r="AI116" s="54" t="s">
        <v>233</v>
      </c>
      <c r="AJ116" s="54" t="s">
        <v>234</v>
      </c>
      <c r="AK116" s="54" t="s">
        <v>235</v>
      </c>
      <c r="AL116" s="54" t="s">
        <v>236</v>
      </c>
      <c r="AM116" s="54" t="s">
        <v>237</v>
      </c>
      <c r="AN116" s="351" t="s">
        <v>116</v>
      </c>
      <c r="AO116" s="512"/>
      <c r="AP116" s="54" t="s">
        <v>228</v>
      </c>
      <c r="AQ116" s="54" t="s">
        <v>229</v>
      </c>
      <c r="AR116" s="54" t="s">
        <v>230</v>
      </c>
      <c r="AS116" s="54" t="s">
        <v>231</v>
      </c>
      <c r="AT116" s="365" t="s">
        <v>232</v>
      </c>
      <c r="AU116" s="365" t="s">
        <v>233</v>
      </c>
      <c r="AV116" s="365" t="s">
        <v>234</v>
      </c>
      <c r="AW116" s="365" t="s">
        <v>235</v>
      </c>
      <c r="AX116" s="365" t="s">
        <v>236</v>
      </c>
      <c r="AY116" s="365" t="s">
        <v>237</v>
      </c>
      <c r="AZ116" s="366" t="s">
        <v>147</v>
      </c>
      <c r="BA116" s="364"/>
      <c r="BB116" s="293" t="s">
        <v>158</v>
      </c>
      <c r="BC116" s="294" t="s">
        <v>159</v>
      </c>
      <c r="BD116" s="294" t="s">
        <v>75</v>
      </c>
      <c r="BE116" s="294" t="s">
        <v>219</v>
      </c>
      <c r="BS116"/>
      <c r="CD116" s="197"/>
      <c r="CE116" s="65"/>
      <c r="CF116" s="65"/>
      <c r="CG116" s="65"/>
    </row>
    <row r="117" spans="1:85" ht="25.5" customHeight="1" thickBot="1" x14ac:dyDescent="0.3">
      <c r="A117" s="169"/>
      <c r="B117" s="165">
        <f>B57</f>
        <v>0</v>
      </c>
      <c r="C117" s="160" t="str">
        <f t="shared" ref="C117:D118" si="170">C57</f>
        <v>GRA # 1</v>
      </c>
      <c r="D117" s="19" t="str">
        <f t="shared" si="170"/>
        <v>Full year</v>
      </c>
      <c r="E117" s="264">
        <v>4.1000000000000003E-3</v>
      </c>
      <c r="F117" s="773"/>
      <c r="G117" s="773"/>
      <c r="H117" s="773"/>
      <c r="I117" s="773"/>
      <c r="J117" s="773"/>
      <c r="K117" s="773"/>
      <c r="L117" s="773"/>
      <c r="M117" s="773"/>
      <c r="N117" s="773"/>
      <c r="O117" s="773"/>
      <c r="P117" s="773"/>
      <c r="Q117" s="773"/>
      <c r="R117" s="773"/>
      <c r="S117" s="773"/>
      <c r="T117" s="773"/>
      <c r="U117" s="773"/>
      <c r="V117" s="773"/>
      <c r="W117" s="773"/>
      <c r="X117" s="773"/>
      <c r="Y117" s="773"/>
      <c r="Z117" s="773"/>
      <c r="AA117" s="773"/>
      <c r="AB117" s="773"/>
      <c r="AC117" s="773"/>
      <c r="AD117" s="27">
        <f>ROUND($E$117*AD57,0)</f>
        <v>0</v>
      </c>
      <c r="AE117" s="27">
        <f>ROUND($E$117*AE57,0)</f>
        <v>0</v>
      </c>
      <c r="AF117" s="27">
        <f>ROUND($E$117*AF57,0)</f>
        <v>0</v>
      </c>
      <c r="AG117" s="27">
        <f>ROUND($E$117*AG57,0)</f>
        <v>0</v>
      </c>
      <c r="AH117" s="27">
        <f>ROUND($E$117*AH57,0)</f>
        <v>0</v>
      </c>
      <c r="AI117" s="27">
        <f t="shared" ref="AI117:AM117" si="171">ROUND($E$117*AI57,0)</f>
        <v>0</v>
      </c>
      <c r="AJ117" s="27">
        <f t="shared" si="171"/>
        <v>0</v>
      </c>
      <c r="AK117" s="27">
        <f t="shared" si="171"/>
        <v>0</v>
      </c>
      <c r="AL117" s="27">
        <f t="shared" si="171"/>
        <v>0</v>
      </c>
      <c r="AM117" s="27">
        <f t="shared" si="171"/>
        <v>0</v>
      </c>
      <c r="AN117" s="68">
        <f t="shared" ref="AN117:AN136" si="172">SUM(AD117:AH117)</f>
        <v>0</v>
      </c>
      <c r="AO117" s="512">
        <f t="shared" ref="AO117:AO137" si="173">AN117+AZ117</f>
        <v>0</v>
      </c>
      <c r="AP117" s="534">
        <f>ROUND($E$117*AP57,0)</f>
        <v>0</v>
      </c>
      <c r="AQ117" s="236">
        <f>ROUND($E$117*AQ57,0)</f>
        <v>0</v>
      </c>
      <c r="AR117" s="236">
        <f>ROUND($E$117*AR57,0)</f>
        <v>0</v>
      </c>
      <c r="AS117" s="236">
        <f>ROUND($E$117*AS57,0)</f>
        <v>0</v>
      </c>
      <c r="AT117" s="236">
        <f>ROUND($E$117*AT57,0)</f>
        <v>0</v>
      </c>
      <c r="AU117" s="236">
        <f t="shared" ref="AU117:AY117" si="174">ROUND($E$117*AU57,0)</f>
        <v>0</v>
      </c>
      <c r="AV117" s="236">
        <f t="shared" si="174"/>
        <v>0</v>
      </c>
      <c r="AW117" s="236">
        <f t="shared" si="174"/>
        <v>0</v>
      </c>
      <c r="AX117" s="236">
        <f t="shared" si="174"/>
        <v>0</v>
      </c>
      <c r="AY117" s="236">
        <f t="shared" si="174"/>
        <v>0</v>
      </c>
      <c r="AZ117" s="237">
        <f t="shared" ref="AZ117:AZ136" si="175">SUM(AP117:AY117)</f>
        <v>0</v>
      </c>
      <c r="BB117" s="165">
        <f t="shared" ref="BB117:BD118" si="176">BN57</f>
        <v>0</v>
      </c>
      <c r="BC117" s="160" t="str">
        <f t="shared" si="176"/>
        <v>GRA # 0</v>
      </c>
      <c r="BD117" s="19" t="str">
        <f t="shared" si="176"/>
        <v>Full year</v>
      </c>
      <c r="BE117" s="264">
        <v>4.1000000000000003E-3</v>
      </c>
      <c r="BS117"/>
      <c r="CD117" s="149"/>
      <c r="CE117" s="65"/>
      <c r="CF117" s="65"/>
      <c r="CG117" s="65"/>
    </row>
    <row r="118" spans="1:85" ht="25.5" customHeight="1" thickTop="1" thickBot="1" x14ac:dyDescent="0.3">
      <c r="A118" s="169"/>
      <c r="B118" s="165">
        <f>B58</f>
        <v>0</v>
      </c>
      <c r="C118" s="161">
        <f t="shared" si="170"/>
        <v>0</v>
      </c>
      <c r="D118" s="19" t="str">
        <f t="shared" si="170"/>
        <v>Summer</v>
      </c>
      <c r="E118" s="260">
        <v>8.0600000000000005E-2</v>
      </c>
      <c r="F118" s="773"/>
      <c r="G118" s="773"/>
      <c r="H118" s="773"/>
      <c r="I118" s="773"/>
      <c r="J118" s="773"/>
      <c r="K118" s="773"/>
      <c r="L118" s="773"/>
      <c r="M118" s="773"/>
      <c r="N118" s="773"/>
      <c r="O118" s="773"/>
      <c r="P118" s="773"/>
      <c r="Q118" s="773"/>
      <c r="R118" s="773"/>
      <c r="S118" s="773"/>
      <c r="T118" s="773"/>
      <c r="U118" s="773"/>
      <c r="V118" s="773"/>
      <c r="W118" s="773"/>
      <c r="X118" s="773"/>
      <c r="Y118" s="773"/>
      <c r="Z118" s="773"/>
      <c r="AA118" s="773"/>
      <c r="AB118" s="773"/>
      <c r="AC118" s="773"/>
      <c r="AD118" s="27">
        <f>ROUND($E$118*AD58,0)</f>
        <v>0</v>
      </c>
      <c r="AE118" s="27">
        <f>ROUND($E$118*AE58,0)</f>
        <v>0</v>
      </c>
      <c r="AF118" s="27">
        <f>ROUND($E$118*AF58,0)</f>
        <v>0</v>
      </c>
      <c r="AG118" s="27">
        <f>ROUND($E$118*AG58,0)</f>
        <v>0</v>
      </c>
      <c r="AH118" s="27">
        <f>ROUND($E$118*AH58,0)</f>
        <v>0</v>
      </c>
      <c r="AI118" s="27">
        <f t="shared" ref="AI118:AM118" si="177">ROUND($E$118*AI58,0)</f>
        <v>0</v>
      </c>
      <c r="AJ118" s="27">
        <f t="shared" si="177"/>
        <v>0</v>
      </c>
      <c r="AK118" s="27">
        <f t="shared" si="177"/>
        <v>0</v>
      </c>
      <c r="AL118" s="27">
        <f t="shared" si="177"/>
        <v>0</v>
      </c>
      <c r="AM118" s="27">
        <f t="shared" si="177"/>
        <v>0</v>
      </c>
      <c r="AN118" s="68">
        <f t="shared" si="172"/>
        <v>0</v>
      </c>
      <c r="AO118" s="512">
        <f t="shared" si="173"/>
        <v>0</v>
      </c>
      <c r="AP118" s="534">
        <f>ROUND($E$118*AP58,0)</f>
        <v>0</v>
      </c>
      <c r="AQ118" s="236">
        <f>ROUND($E$118*AQ58,0)</f>
        <v>0</v>
      </c>
      <c r="AR118" s="236">
        <f>ROUND($E$118*AR58,0)</f>
        <v>0</v>
      </c>
      <c r="AS118" s="236">
        <f>ROUND($E$118*AS58,0)</f>
        <v>0</v>
      </c>
      <c r="AT118" s="236">
        <f>ROUND($E$118*AT58,0)</f>
        <v>0</v>
      </c>
      <c r="AU118" s="236">
        <f t="shared" ref="AU118:AY118" si="178">ROUND($E$118*AU58,0)</f>
        <v>0</v>
      </c>
      <c r="AV118" s="236">
        <f t="shared" si="178"/>
        <v>0</v>
      </c>
      <c r="AW118" s="236">
        <f t="shared" si="178"/>
        <v>0</v>
      </c>
      <c r="AX118" s="236">
        <f t="shared" si="178"/>
        <v>0</v>
      </c>
      <c r="AY118" s="236">
        <f t="shared" si="178"/>
        <v>0</v>
      </c>
      <c r="AZ118" s="237">
        <f t="shared" si="175"/>
        <v>0</v>
      </c>
      <c r="BB118" s="165">
        <f t="shared" si="176"/>
        <v>0</v>
      </c>
      <c r="BC118" s="161">
        <f t="shared" si="176"/>
        <v>0</v>
      </c>
      <c r="BD118" s="19" t="str">
        <f t="shared" si="176"/>
        <v>Summer</v>
      </c>
      <c r="BE118" s="260">
        <v>8.0600000000000005E-2</v>
      </c>
      <c r="BS118"/>
      <c r="CD118" s="149"/>
      <c r="CE118" s="65"/>
      <c r="CF118" s="65"/>
      <c r="CG118" s="65"/>
    </row>
    <row r="119" spans="1:85" ht="25.5" customHeight="1" thickTop="1" x14ac:dyDescent="0.25">
      <c r="B119" s="37"/>
      <c r="C119" s="163"/>
      <c r="D119" s="741" t="s">
        <v>238</v>
      </c>
      <c r="E119" s="741"/>
      <c r="F119" s="773"/>
      <c r="G119" s="773"/>
      <c r="H119" s="773"/>
      <c r="I119" s="773"/>
      <c r="J119" s="773"/>
      <c r="K119" s="773"/>
      <c r="L119" s="773"/>
      <c r="M119" s="773"/>
      <c r="N119" s="773"/>
      <c r="O119" s="773"/>
      <c r="P119" s="773"/>
      <c r="Q119" s="773"/>
      <c r="R119" s="773"/>
      <c r="S119" s="773"/>
      <c r="T119" s="773"/>
      <c r="U119" s="773"/>
      <c r="V119" s="773"/>
      <c r="W119" s="773"/>
      <c r="X119" s="773"/>
      <c r="Y119" s="773"/>
      <c r="Z119" s="773"/>
      <c r="AA119" s="773"/>
      <c r="AB119" s="773"/>
      <c r="AC119" s="773"/>
      <c r="AD119" s="36" cm="1">
        <f t="array" ref="AD119">_xlfn.IFNA(_xlfn.IFS(AND(G57=20,S57=8.77,$D$117="Full year"),Rates!$C$21*$B$117,
AND(G57=20,S57=4.39,$D$117="Fall"),Rates!$C$22*$B$117,
AND(G57=20,S57=4.39,$D$117="Spring"),Rates!$C$23*$B$117)*1.05^G$2,0)</f>
        <v>0</v>
      </c>
      <c r="AE119" s="36" cm="1">
        <f t="array" ref="AE119">_xlfn.IFNA(_xlfn.IFS(AND(H57=20,T57=8.77,$D$117="Full year"),Rates!$C$21*$B$117,
AND(H57=20,T57=4.39,$D$117="Fall"),Rates!$C$22*$B$117,
AND(H57=20,T57=4.39,$D$117="Spring"),Rates!$C$23*$B$117)*1.05^H$2,0)</f>
        <v>0</v>
      </c>
      <c r="AF119" s="36" cm="1">
        <f t="array" ref="AF119">_xlfn.IFNA(_xlfn.IFS(AND(I57=20,U57=8.77,$D$117="Full year"),Rates!$C$21*$B$117,
AND(I57=20,U57=4.39,$D$117="Fall"),Rates!$C$22*$B$117,
AND(I57=20,U57=4.39,$D$117="Spring"),Rates!$C$23*$B$117)*1.05^I$2,0)</f>
        <v>0</v>
      </c>
      <c r="AG119" s="36" cm="1">
        <f t="array" ref="AG119">_xlfn.IFNA(_xlfn.IFS(AND(J57=20,V57=8.77,$D$117="Full year"),Rates!$C$21*$B$117,
AND(J57=20,V57=4.39,$D$117="Fall"),Rates!$C$22*$B$117,
AND(J57=20,V57=4.39,$D$117="Spring"),Rates!$C$23*$B$117)*1.05^J$2,0)</f>
        <v>0</v>
      </c>
      <c r="AH119" s="36" cm="1">
        <f t="array" ref="AH119">_xlfn.IFNA(_xlfn.IFS(AND(K57=20,W57=8.77,$D$117="Full year"),Rates!$C$21*$B$117,
AND(K57=20,W57=4.39,$D$117="Fall"),Rates!$C$22*$B$117,
AND(K57=20,W57=4.39,$D$117="Spring"),Rates!$C$23*$B$117)*1.05^K$2,0)</f>
        <v>0</v>
      </c>
      <c r="AI119" s="36" cm="1">
        <f t="array" ref="AI119">_xlfn.IFNA(_xlfn.IFS(AND(L57=20,X57=8.77,$D$117="Full year"),Rates!$C$21*$B$117,
AND(L57=20,X57=4.39,$D$117="Fall"),Rates!$C$22*$B$117,
AND(L57=20,X57=4.39,$D$117="Spring"),Rates!$C$23*$B$117)*1.05^L$2,0)</f>
        <v>0</v>
      </c>
      <c r="AJ119" s="36" cm="1">
        <f t="array" ref="AJ119">_xlfn.IFNA(_xlfn.IFS(AND(M57=20,Y57=8.77,$D$117="Full year"),Rates!$C$21*$B$117,
AND(M57=20,Y57=4.39,$D$117="Fall"),Rates!$C$22*$B$117,
AND(M57=20,Y57=4.39,$D$117="Spring"),Rates!$C$23*$B$117)*1.05^M$2,0)</f>
        <v>0</v>
      </c>
      <c r="AK119" s="36" cm="1">
        <f t="array" ref="AK119">_xlfn.IFNA(_xlfn.IFS(AND(N57=20,Z57=8.77,$D$117="Full year"),Rates!$C$21*$B$117,
AND(N57=20,Z57=4.39,$D$117="Fall"),Rates!$C$22*$B$117,
AND(N57=20,Z57=4.39,$D$117="Spring"),Rates!$C$23*$B$117)*1.05^N$2,0)</f>
        <v>0</v>
      </c>
      <c r="AL119" s="36" cm="1">
        <f t="array" ref="AL119">_xlfn.IFNA(_xlfn.IFS(AND(O57=20,AA57=8.77,$D$117="Full year"),Rates!$C$21*$B$117,
AND(O57=20,AA57=4.39,$D$117="Fall"),Rates!$C$22*$B$117,
AND(O57=20,AA57=4.39,$D$117="Spring"),Rates!$C$23*$B$117)*1.05^O$2,0)</f>
        <v>0</v>
      </c>
      <c r="AM119" s="36" cm="1">
        <f t="array" ref="AM119">_xlfn.IFNA(_xlfn.IFS(AND(P57=20,AB57=8.77,$D$117="Full year"),Rates!$C$21*$B$117,
AND(P57=20,AB57=4.39,$D$117="Fall"),Rates!$C$22*$B$117,
AND(P57=20,AB57=4.39,$D$117="Spring"),Rates!$C$23*$B$117)*1.05^P$2,0)</f>
        <v>0</v>
      </c>
      <c r="AN119" s="70">
        <f t="shared" si="172"/>
        <v>0</v>
      </c>
      <c r="AO119" s="512">
        <f t="shared" si="173"/>
        <v>0</v>
      </c>
      <c r="AP119" s="535" cm="1">
        <f t="array" ref="AP119">_xlfn.IFNA(_xlfn.IFS(AND(BB57=20,BT57=8.77,$BD$117="Full year"),Rates!$C$21*$BB$117,
AND(BB57=20,BT57=4.39,$BD$117="Fall"),Rates!$C$22*$BB$117,
AND(BB57=20,BT57=4.39,$BD$117="Spring"),Rates!$C$23*$BB$117)*1.05^G$2,0)</f>
        <v>0</v>
      </c>
      <c r="AQ119" s="238" cm="1">
        <f t="array" ref="AQ119">_xlfn.IFNA(_xlfn.IFS(AND(BC57=20,BU57=8.77,$BD$117="Full year"),Rates!$C$21*$BB$117,
AND(BC57=20,BU57=4.39,$BD$117="Fall"),Rates!$C$22*$BB$117,
AND(BC57=20,BU57=4.39,$BD$117="Spring"),Rates!$C$23*$BB$117)*1.05^H$2,0)</f>
        <v>0</v>
      </c>
      <c r="AR119" s="238" cm="1">
        <f t="array" ref="AR119">_xlfn.IFNA(_xlfn.IFS(AND(BD57=20,BV57=8.77,$BD$117="Full year"),Rates!$C$21*$BB$117,
AND(BD57=20,BV57=4.39,$BD$117="Fall"),Rates!$C$22*$BB$117,
AND(BD57=20,BV57=4.39,$BD$117="Spring"),Rates!$C$23*$BB$117)*1.05^I$2,0)</f>
        <v>0</v>
      </c>
      <c r="AS119" s="238" cm="1">
        <f t="array" ref="AS119">_xlfn.IFNA(_xlfn.IFS(AND(BE57=20,BW57=8.77,$BD$117="Full year"),Rates!$C$21*$BB$117,
AND(BE57=20,BW57=4.39,$BD$117="Fall"),Rates!$C$22*$BB$117,
AND(BE57=20,BW57=4.39,$BD$117="Spring"),Rates!$C$23*$BB$117)*1.05^J$2,0)</f>
        <v>0</v>
      </c>
      <c r="AT119" s="238" cm="1">
        <f t="array" ref="AT119">_xlfn.IFNA(_xlfn.IFS(AND(BF57=20,BX57=8.77,$BD$117="Full year"),Rates!$C$21*$BB$117,
AND(BF57=20,BX57=4.39,$BD$117="Fall"),Rates!$C$22*$BB$117,
AND(BF57=20,BX57=4.39,$BD$117="Spring"),Rates!$C$23*$BB$117)*1.05^K$2,0)</f>
        <v>0</v>
      </c>
      <c r="AU119" s="238" cm="1">
        <f t="array" ref="AU119">_xlfn.IFNA(_xlfn.IFS(AND(BG57=20,BY57=8.77,$BD$117="Full year"),Rates!$C$21*$BB$117,
AND(BG57=20,BY57=4.39,$BD$117="Fall"),Rates!$C$22*$BB$117,
AND(BG57=20,BY57=4.39,$BD$117="Spring"),Rates!$C$23*$BB$117)*1.05^L$2,0)</f>
        <v>0</v>
      </c>
      <c r="AV119" s="238" cm="1">
        <f t="array" ref="AV119">_xlfn.IFNA(_xlfn.IFS(AND(BH57=20,BZ57=8.77,$BD$117="Full year"),Rates!$C$21*$BB$117,
AND(BH57=20,BZ57=4.39,$BD$117="Fall"),Rates!$C$22*$BB$117,
AND(BH57=20,BZ57=4.39,$BD$117="Spring"),Rates!$C$23*$BB$117)*1.05^M$2,0)</f>
        <v>0</v>
      </c>
      <c r="AW119" s="238" cm="1">
        <f t="array" ref="AW119">_xlfn.IFNA(_xlfn.IFS(AND(BI57=20,CA57=8.77,$BD$117="Full year"),Rates!$C$21*$BB$117,
AND(BI57=20,CA57=4.39,$BD$117="Fall"),Rates!$C$22*$BB$117,
AND(BI57=20,CA57=4.39,$BD$117="Spring"),Rates!$C$23*$BB$117)*1.05^N$2,0)</f>
        <v>0</v>
      </c>
      <c r="AX119" s="238" cm="1">
        <f t="array" ref="AX119">_xlfn.IFNA(_xlfn.IFS(AND(BJ57=20,CB57=8.77,$BD$117="Full year"),Rates!$C$21*$BB$117,
AND(BJ57=20,CB57=4.39,$BD$117="Fall"),Rates!$C$22*$BB$117,
AND(BJ57=20,CB57=4.39,$BD$117="Spring"),Rates!$C$23*$BB$117)*1.05^O$2,0)</f>
        <v>0</v>
      </c>
      <c r="AY119" s="238" cm="1">
        <f t="array" ref="AY119">_xlfn.IFNA(_xlfn.IFS(AND(BK57=20,CC57=8.77,$BD$117="Full year"),Rates!$C$21*$BB$117,
AND(BK57=20,CC57=4.39,$BD$117="Fall"),Rates!$C$22*$BB$117,
AND(BK57=20,CC57=4.39,$BD$117="Spring"),Rates!$C$23*$BB$117)*1.05^P$2,0)</f>
        <v>0</v>
      </c>
      <c r="AZ119" s="239">
        <f t="shared" si="175"/>
        <v>0</v>
      </c>
      <c r="BB119" s="37"/>
      <c r="BC119" s="163"/>
      <c r="BD119" s="741" t="s">
        <v>238</v>
      </c>
      <c r="BE119" s="741"/>
      <c r="BS119"/>
      <c r="CD119" s="149"/>
      <c r="CE119" s="65"/>
      <c r="CF119" s="65"/>
      <c r="CG119" s="65"/>
    </row>
    <row r="120" spans="1:85" ht="25.5" customHeight="1" thickBot="1" x14ac:dyDescent="0.3">
      <c r="B120" s="34"/>
      <c r="C120" s="35"/>
      <c r="D120" s="695" t="s">
        <v>239</v>
      </c>
      <c r="E120" s="695"/>
      <c r="F120" s="773"/>
      <c r="G120" s="773"/>
      <c r="H120" s="773"/>
      <c r="I120" s="773"/>
      <c r="J120" s="773"/>
      <c r="K120" s="773"/>
      <c r="L120" s="773"/>
      <c r="M120" s="773"/>
      <c r="N120" s="773"/>
      <c r="O120" s="773"/>
      <c r="P120" s="773"/>
      <c r="Q120" s="773"/>
      <c r="R120" s="773"/>
      <c r="S120" s="773"/>
      <c r="T120" s="773"/>
      <c r="U120" s="773"/>
      <c r="V120" s="773"/>
      <c r="W120" s="773"/>
      <c r="X120" s="773"/>
      <c r="Y120" s="773"/>
      <c r="Z120" s="773"/>
      <c r="AA120" s="773"/>
      <c r="AB120" s="773"/>
      <c r="AC120" s="773"/>
      <c r="AD120" s="262"/>
      <c r="AE120" s="262"/>
      <c r="AF120" s="262"/>
      <c r="AG120" s="304"/>
      <c r="AH120" s="304"/>
      <c r="AI120" s="304"/>
      <c r="AJ120" s="304"/>
      <c r="AK120" s="304"/>
      <c r="AL120" s="304"/>
      <c r="AM120" s="304"/>
      <c r="AN120" s="172">
        <f t="shared" si="172"/>
        <v>0</v>
      </c>
      <c r="AO120" s="512">
        <f t="shared" si="173"/>
        <v>0</v>
      </c>
      <c r="AP120" s="536"/>
      <c r="AQ120" s="262"/>
      <c r="AR120" s="262"/>
      <c r="AS120" s="262"/>
      <c r="AT120" s="262"/>
      <c r="AU120" s="262"/>
      <c r="AV120" s="262"/>
      <c r="AW120" s="262"/>
      <c r="AX120" s="262"/>
      <c r="AY120" s="262"/>
      <c r="AZ120" s="297">
        <f t="shared" si="175"/>
        <v>0</v>
      </c>
      <c r="BB120" s="34"/>
      <c r="BC120" s="35"/>
      <c r="BD120" s="695" t="s">
        <v>239</v>
      </c>
      <c r="BE120" s="695"/>
      <c r="BS120"/>
      <c r="CD120" s="149"/>
      <c r="CE120" s="65"/>
      <c r="CF120" s="65"/>
      <c r="CG120" s="65"/>
    </row>
    <row r="121" spans="1:85" ht="25.5" hidden="1" customHeight="1" outlineLevel="1" thickBot="1" x14ac:dyDescent="0.3">
      <c r="A121" s="169"/>
      <c r="B121" s="166">
        <f t="shared" ref="B121:D122" si="179">B59</f>
        <v>0</v>
      </c>
      <c r="C121" s="162" t="str">
        <f t="shared" si="179"/>
        <v>GRA #2</v>
      </c>
      <c r="D121" s="19" t="str">
        <f t="shared" si="179"/>
        <v>Full year</v>
      </c>
      <c r="E121" s="260">
        <v>4.1000000000000003E-3</v>
      </c>
      <c r="F121" s="773"/>
      <c r="G121" s="773"/>
      <c r="H121" s="773"/>
      <c r="I121" s="773"/>
      <c r="J121" s="773"/>
      <c r="K121" s="773"/>
      <c r="L121" s="773"/>
      <c r="M121" s="773"/>
      <c r="N121" s="773"/>
      <c r="O121" s="773"/>
      <c r="P121" s="773"/>
      <c r="Q121" s="773"/>
      <c r="R121" s="773"/>
      <c r="S121" s="773"/>
      <c r="T121" s="773"/>
      <c r="U121" s="773"/>
      <c r="V121" s="773"/>
      <c r="W121" s="773"/>
      <c r="X121" s="773"/>
      <c r="Y121" s="773"/>
      <c r="Z121" s="773"/>
      <c r="AA121" s="773"/>
      <c r="AB121" s="773"/>
      <c r="AC121" s="773"/>
      <c r="AD121" s="170">
        <f>ROUND($E$121*AD59,0)</f>
        <v>0</v>
      </c>
      <c r="AE121" s="170">
        <f>ROUND($E$121*AE59,0)</f>
        <v>0</v>
      </c>
      <c r="AF121" s="170">
        <f>ROUND($E$121*AF59,0)</f>
        <v>0</v>
      </c>
      <c r="AG121" s="170">
        <f>ROUND($E$121*AG59,0)</f>
        <v>0</v>
      </c>
      <c r="AH121" s="170">
        <f>ROUND($E$121*AH59,0)</f>
        <v>0</v>
      </c>
      <c r="AI121" s="170">
        <f t="shared" ref="AI121:AM121" si="180">ROUND($E$121*AI59,0)</f>
        <v>0</v>
      </c>
      <c r="AJ121" s="170">
        <f t="shared" si="180"/>
        <v>0</v>
      </c>
      <c r="AK121" s="170">
        <f t="shared" si="180"/>
        <v>0</v>
      </c>
      <c r="AL121" s="170">
        <f t="shared" si="180"/>
        <v>0</v>
      </c>
      <c r="AM121" s="170">
        <f t="shared" si="180"/>
        <v>0</v>
      </c>
      <c r="AN121" s="171">
        <f t="shared" si="172"/>
        <v>0</v>
      </c>
      <c r="AO121" s="512">
        <f t="shared" si="173"/>
        <v>0</v>
      </c>
      <c r="AP121" s="537">
        <f>ROUND($E$121*AP59,0)</f>
        <v>0</v>
      </c>
      <c r="AQ121" s="295">
        <f>ROUND($E$121*AQ59,0)</f>
        <v>0</v>
      </c>
      <c r="AR121" s="295">
        <f>ROUND($E$121*AR59,0)</f>
        <v>0</v>
      </c>
      <c r="AS121" s="295">
        <f>ROUND($E$121*AS59,0)</f>
        <v>0</v>
      </c>
      <c r="AT121" s="295">
        <f>ROUND($E$121*AT59,0)</f>
        <v>0</v>
      </c>
      <c r="AU121" s="295">
        <f t="shared" ref="AU121:AY121" si="181">ROUND($E$121*AU59,0)</f>
        <v>0</v>
      </c>
      <c r="AV121" s="295">
        <f t="shared" si="181"/>
        <v>0</v>
      </c>
      <c r="AW121" s="295">
        <f t="shared" si="181"/>
        <v>0</v>
      </c>
      <c r="AX121" s="295">
        <f t="shared" si="181"/>
        <v>0</v>
      </c>
      <c r="AY121" s="295">
        <f t="shared" si="181"/>
        <v>0</v>
      </c>
      <c r="AZ121" s="296">
        <f t="shared" si="175"/>
        <v>0</v>
      </c>
      <c r="BB121" s="166">
        <f t="shared" ref="BB121:BD122" si="182">BN59</f>
        <v>0</v>
      </c>
      <c r="BC121" s="162" t="str">
        <f t="shared" si="182"/>
        <v>GRA #1</v>
      </c>
      <c r="BD121" s="19" t="str">
        <f t="shared" si="182"/>
        <v>Full year</v>
      </c>
      <c r="BE121" s="260">
        <v>4.1000000000000003E-3</v>
      </c>
      <c r="BS121"/>
      <c r="CD121" s="149"/>
      <c r="CE121" s="65"/>
      <c r="CF121" s="65"/>
      <c r="CG121" s="65"/>
    </row>
    <row r="122" spans="1:85" ht="25.5" hidden="1" customHeight="1" outlineLevel="1" thickTop="1" thickBot="1" x14ac:dyDescent="0.3">
      <c r="A122" s="169"/>
      <c r="B122" s="165">
        <f t="shared" si="179"/>
        <v>0</v>
      </c>
      <c r="C122" s="161">
        <f t="shared" si="179"/>
        <v>0</v>
      </c>
      <c r="D122" s="19" t="str">
        <f t="shared" si="179"/>
        <v>Summer</v>
      </c>
      <c r="E122" s="260">
        <v>8.0600000000000005E-2</v>
      </c>
      <c r="F122" s="773"/>
      <c r="G122" s="773"/>
      <c r="H122" s="773"/>
      <c r="I122" s="773"/>
      <c r="J122" s="773"/>
      <c r="K122" s="773"/>
      <c r="L122" s="773"/>
      <c r="M122" s="773"/>
      <c r="N122" s="773"/>
      <c r="O122" s="773"/>
      <c r="P122" s="773"/>
      <c r="Q122" s="773"/>
      <c r="R122" s="773"/>
      <c r="S122" s="773"/>
      <c r="T122" s="773"/>
      <c r="U122" s="773"/>
      <c r="V122" s="773"/>
      <c r="W122" s="773"/>
      <c r="X122" s="773"/>
      <c r="Y122" s="773"/>
      <c r="Z122" s="773"/>
      <c r="AA122" s="773"/>
      <c r="AB122" s="773"/>
      <c r="AC122" s="773"/>
      <c r="AD122" s="27">
        <f>ROUND($E$122*AD60,0)</f>
        <v>0</v>
      </c>
      <c r="AE122" s="27">
        <f>ROUND($E$122*AE60,0)</f>
        <v>0</v>
      </c>
      <c r="AF122" s="27">
        <f>ROUND($E$122*AF60,0)</f>
        <v>0</v>
      </c>
      <c r="AG122" s="27">
        <f>ROUND($E$122*AG60,0)</f>
        <v>0</v>
      </c>
      <c r="AH122" s="27">
        <f>ROUND($E$122*AH60,0)</f>
        <v>0</v>
      </c>
      <c r="AI122" s="27">
        <f t="shared" ref="AI122:AM122" si="183">ROUND($E$122*AI60,0)</f>
        <v>0</v>
      </c>
      <c r="AJ122" s="27">
        <f t="shared" si="183"/>
        <v>0</v>
      </c>
      <c r="AK122" s="27">
        <f t="shared" si="183"/>
        <v>0</v>
      </c>
      <c r="AL122" s="27">
        <f t="shared" si="183"/>
        <v>0</v>
      </c>
      <c r="AM122" s="27">
        <f t="shared" si="183"/>
        <v>0</v>
      </c>
      <c r="AN122" s="68">
        <f>SUM(AD122:AH122)</f>
        <v>0</v>
      </c>
      <c r="AO122" s="512">
        <f t="shared" si="173"/>
        <v>0</v>
      </c>
      <c r="AP122" s="534">
        <f>ROUND($E$122*AP60,0)</f>
        <v>0</v>
      </c>
      <c r="AQ122" s="236">
        <f>ROUND($E$122*AQ60,0)</f>
        <v>0</v>
      </c>
      <c r="AR122" s="236">
        <f>ROUND($E$122*AR60,0)</f>
        <v>0</v>
      </c>
      <c r="AS122" s="236">
        <f>ROUND($E$122*AS60,0)</f>
        <v>0</v>
      </c>
      <c r="AT122" s="236">
        <f>ROUND($E$122*AT60,0)</f>
        <v>0</v>
      </c>
      <c r="AU122" s="236">
        <f t="shared" ref="AU122:AY122" si="184">ROUND($E$122*AU60,0)</f>
        <v>0</v>
      </c>
      <c r="AV122" s="236">
        <f t="shared" si="184"/>
        <v>0</v>
      </c>
      <c r="AW122" s="236">
        <f t="shared" si="184"/>
        <v>0</v>
      </c>
      <c r="AX122" s="236">
        <f t="shared" si="184"/>
        <v>0</v>
      </c>
      <c r="AY122" s="236">
        <f t="shared" si="184"/>
        <v>0</v>
      </c>
      <c r="AZ122" s="237">
        <f t="shared" si="175"/>
        <v>0</v>
      </c>
      <c r="BB122" s="165">
        <f t="shared" si="182"/>
        <v>0</v>
      </c>
      <c r="BC122" s="161">
        <f t="shared" si="182"/>
        <v>0</v>
      </c>
      <c r="BD122" s="19" t="str">
        <f t="shared" si="182"/>
        <v>Summer</v>
      </c>
      <c r="BE122" s="260">
        <v>8.0600000000000005E-2</v>
      </c>
      <c r="BS122"/>
      <c r="CD122" s="149"/>
      <c r="CE122" s="65"/>
      <c r="CF122" s="65"/>
      <c r="CG122" s="65"/>
    </row>
    <row r="123" spans="1:85" ht="25.5" hidden="1" customHeight="1" outlineLevel="1" thickTop="1" x14ac:dyDescent="0.25">
      <c r="B123" s="37"/>
      <c r="C123" s="163"/>
      <c r="D123" s="741" t="s">
        <v>238</v>
      </c>
      <c r="E123" s="741"/>
      <c r="F123" s="773"/>
      <c r="G123" s="773"/>
      <c r="H123" s="773"/>
      <c r="I123" s="773"/>
      <c r="J123" s="773"/>
      <c r="K123" s="773"/>
      <c r="L123" s="773"/>
      <c r="M123" s="773"/>
      <c r="N123" s="773"/>
      <c r="O123" s="773"/>
      <c r="P123" s="773"/>
      <c r="Q123" s="773"/>
      <c r="R123" s="773"/>
      <c r="S123" s="773"/>
      <c r="T123" s="773"/>
      <c r="U123" s="773"/>
      <c r="V123" s="773"/>
      <c r="W123" s="773"/>
      <c r="X123" s="773"/>
      <c r="Y123" s="773"/>
      <c r="Z123" s="773"/>
      <c r="AA123" s="773"/>
      <c r="AB123" s="773"/>
      <c r="AC123" s="773"/>
      <c r="AD123" s="36" cm="1">
        <f t="array" ref="AD123">_xlfn.IFNA(_xlfn.IFS(AND(G59=20,S59=8.77,$D$121="Full year"),Rates!$C$21*$B$121,
AND(G59=20,S59=4.39,$D$121="Fall"),Rates!$C$22*$B$121,
AND(G59=20,S59=4.39,$D$121="Spring"),Rates!$C$23*$B$121)*1.05^G$2,0)</f>
        <v>0</v>
      </c>
      <c r="AE123" s="36" cm="1">
        <f t="array" ref="AE123">_xlfn.IFNA(_xlfn.IFS(AND(H59=20,T59=8.77,$D$121="Full year"),Rates!$C$21*$B$121,
AND(H59=20,T59=4.39,$D$121="Fall"),Rates!$C$22*$B$121,
AND(H59=20,T59=4.39,$D$121="Spring"),Rates!$C$23*$B$121)*1.05^H$2,0)</f>
        <v>0</v>
      </c>
      <c r="AF123" s="36" cm="1">
        <f t="array" ref="AF123">_xlfn.IFNA(_xlfn.IFS(AND(I59=20,U59=8.77,$D$121="Full year"),Rates!$C$21*$B$121,
AND(I59=20,U59=4.39,$D$121="Fall"),Rates!$C$22*$B$121,
AND(I59=20,U59=4.39,$D$121="Spring"),Rates!$C$23*$B$121)*1.05^I$2,0)</f>
        <v>0</v>
      </c>
      <c r="AG123" s="36" cm="1">
        <f t="array" ref="AG123">_xlfn.IFNA(_xlfn.IFS(AND(J59=20,V59=8.77,$D$121="Full year"),Rates!$C$21*$B$121,
AND(J59=20,V59=4.39,$D$121="Fall"),Rates!$C$22*$B$121,
AND(J59=20,V59=4.39,$D$121="Spring"),Rates!$C$23*$B$121)*1.05^J$2,0)</f>
        <v>0</v>
      </c>
      <c r="AH123" s="36" cm="1">
        <f t="array" ref="AH123">_xlfn.IFNA(_xlfn.IFS(AND(K59=20,W59=8.77,$D$121="Full year"),Rates!$C$21*$B$121,
AND(K59=20,W59=4.39,$D$121="Fall"),Rates!$C$22*$B$121,
AND(K59=20,W59=4.39,$D$121="Spring"),Rates!$C$23*$B$121)*1.05^K$2,0)</f>
        <v>0</v>
      </c>
      <c r="AI123" s="36" cm="1">
        <f t="array" ref="AI123">_xlfn.IFNA(_xlfn.IFS(AND(L59=20,X59=8.77,$D$121="Full year"),Rates!$C$21*$B$121,
AND(L59=20,X59=4.39,$D$121="Fall"),Rates!$C$22*$B$121,
AND(L59=20,X59=4.39,$D$121="Spring"),Rates!$C$23*$B$121)*1.05^L$2,0)</f>
        <v>0</v>
      </c>
      <c r="AJ123" s="36" cm="1">
        <f t="array" ref="AJ123">_xlfn.IFNA(_xlfn.IFS(AND(M59=20,Y59=8.77,$D$121="Full year"),Rates!$C$21*$B$121,
AND(M59=20,Y59=4.39,$D$121="Fall"),Rates!$C$22*$B$121,
AND(M59=20,Y59=4.39,$D$121="Spring"),Rates!$C$23*$B$121)*1.05^M$2,0)</f>
        <v>0</v>
      </c>
      <c r="AK123" s="36" cm="1">
        <f t="array" ref="AK123">_xlfn.IFNA(_xlfn.IFS(AND(N59=20,Z59=8.77,$D$121="Full year"),Rates!$C$21*$B$121,
AND(N59=20,Z59=4.39,$D$121="Fall"),Rates!$C$22*$B$121,
AND(N59=20,Z59=4.39,$D$121="Spring"),Rates!$C$23*$B$121)*1.05^N$2,0)</f>
        <v>0</v>
      </c>
      <c r="AL123" s="36" cm="1">
        <f t="array" ref="AL123">_xlfn.IFNA(_xlfn.IFS(AND(O59=20,AA59=8.77,$D$121="Full year"),Rates!$C$21*$B$121,
AND(O59=20,AA59=4.39,$D$121="Fall"),Rates!$C$22*$B$121,
AND(O59=20,AA59=4.39,$D$121="Spring"),Rates!$C$23*$B$121)*1.05^O$2,0)</f>
        <v>0</v>
      </c>
      <c r="AM123" s="36" cm="1">
        <f t="array" ref="AM123">_xlfn.IFNA(_xlfn.IFS(AND(P59=20,AB59=8.77,$D$121="Full year"),Rates!$C$21*$B$121,
AND(P59=20,AB59=4.39,$D$121="Fall"),Rates!$C$22*$B$121,
AND(P59=20,AB59=4.39,$D$121="Spring"),Rates!$C$23*$B$121)*1.05^P$2,0)</f>
        <v>0</v>
      </c>
      <c r="AN123" s="70">
        <f>SUM(AD123:AH123)</f>
        <v>0</v>
      </c>
      <c r="AO123" s="512">
        <f t="shared" si="173"/>
        <v>0</v>
      </c>
      <c r="AP123" s="535" cm="1">
        <f t="array" ref="AP123">_xlfn.IFNA(_xlfn.IFS(AND(BB59=20,BT59=8.77,$BD$121="Full year"),Rates!$C$21*$BB$121,
AND(BB59=20,BT59=4.39,$BD$121="Fall"),Rates!$C$22*$BB$121,
AND(BB59=20,BT59=4.39,$BD$121="Spring"),Rates!$C$23*$BB$121)*1.05^G$2,0)</f>
        <v>0</v>
      </c>
      <c r="AQ123" s="238" cm="1">
        <f t="array" ref="AQ123">_xlfn.IFNA(_xlfn.IFS(AND(BC59=20,BU59=8.77,$BD$121="Full year"),Rates!$C$21*$BB$121,
AND(BC59=20,BU59=4.39,$BD$121="Fall"),Rates!$C$22*$BB$121,
AND(BC59=20,BU59=4.39,$BD$121="Spring"),Rates!$C$23*$BB$121)*1.05^H$2,0)</f>
        <v>0</v>
      </c>
      <c r="AR123" s="238" cm="1">
        <f t="array" ref="AR123">_xlfn.IFNA(_xlfn.IFS(AND(BD59=20,BV59=8.77,$BD$121="Full year"),Rates!$C$21*$BB$121,
AND(BD59=20,BV59=4.39,$BD$121="Fall"),Rates!$C$22*$BB$121,
AND(BD59=20,BV59=4.39,$BD$121="Spring"),Rates!$C$23*$BB$121)*1.05^I$2,0)</f>
        <v>0</v>
      </c>
      <c r="AS123" s="238" cm="1">
        <f t="array" ref="AS123">_xlfn.IFNA(_xlfn.IFS(AND(BE59=20,BW59=8.77,$BD$121="Full year"),Rates!$C$21*$BB$121,
AND(BE59=20,BW59=4.39,$BD$121="Fall"),Rates!$C$22*$BB$121,
AND(BE59=20,BW59=4.39,$BD$121="Spring"),Rates!$C$23*$BB$121)*1.05^J$2,0)</f>
        <v>0</v>
      </c>
      <c r="AT123" s="238" cm="1">
        <f t="array" ref="AT123">_xlfn.IFNA(_xlfn.IFS(AND(BF59=20,BX59=8.77,$BD$121="Full year"),Rates!$C$21*$BB$121,
AND(BF59=20,BX59=4.39,$BD$121="Fall"),Rates!$C$22*$BB$121,
AND(BF59=20,BX59=4.39,$BD$121="Spring"),Rates!$C$23*$BB$121)*1.05^K$2,0)</f>
        <v>0</v>
      </c>
      <c r="AU123" s="238" cm="1">
        <f t="array" ref="AU123">_xlfn.IFNA(_xlfn.IFS(AND(BG59=20,BY59=8.77,$BD$121="Full year"),Rates!$C$21*$BB$121,
AND(BG59=20,BY59=4.39,$BD$121="Fall"),Rates!$C$22*$BB$121,
AND(BG59=20,BY59=4.39,$BD$121="Spring"),Rates!$C$23*$BB$121)*1.05^L$2,0)</f>
        <v>0</v>
      </c>
      <c r="AV123" s="238" cm="1">
        <f t="array" ref="AV123">_xlfn.IFNA(_xlfn.IFS(AND(BH59=20,BZ59=8.77,$BD$121="Full year"),Rates!$C$21*$BB$121,
AND(BH59=20,BZ59=4.39,$BD$121="Fall"),Rates!$C$22*$BB$121,
AND(BH59=20,BZ59=4.39,$BD$121="Spring"),Rates!$C$23*$BB$121)*1.05^M$2,0)</f>
        <v>0</v>
      </c>
      <c r="AW123" s="238" cm="1">
        <f t="array" ref="AW123">_xlfn.IFNA(_xlfn.IFS(AND(BI59=20,CA59=8.77,$BD$121="Full year"),Rates!$C$21*$BB$121,
AND(BI59=20,CA59=4.39,$BD$121="Fall"),Rates!$C$22*$BB$121,
AND(BI59=20,CA59=4.39,$BD$121="Spring"),Rates!$C$23*$BB$121)*1.05^N$2,0)</f>
        <v>0</v>
      </c>
      <c r="AX123" s="238" cm="1">
        <f t="array" ref="AX123">_xlfn.IFNA(_xlfn.IFS(AND(BJ59=20,CB59=8.77,$BD$121="Full year"),Rates!$C$21*$BB$121,
AND(BJ59=20,CB59=4.39,$BD$121="Fall"),Rates!$C$22*$BB$121,
AND(BJ59=20,CB59=4.39,$BD$121="Spring"),Rates!$C$23*$BB$121)*1.05^O$2,0)</f>
        <v>0</v>
      </c>
      <c r="AY123" s="238" cm="1">
        <f t="array" ref="AY123">_xlfn.IFNA(_xlfn.IFS(AND(BK59=20,CC59=8.77,$BD$121="Full year"),Rates!$C$21*$BB$121,
AND(BK59=20,CC59=4.39,$BD$121="Fall"),Rates!$C$22*$BB$121,
AND(BK59=20,CC59=4.39,$BD$121="Spring"),Rates!$C$23*$BB$121)*1.05^P$2,0)</f>
        <v>0</v>
      </c>
      <c r="AZ123" s="240">
        <f t="shared" si="175"/>
        <v>0</v>
      </c>
      <c r="BB123" s="37"/>
      <c r="BC123" s="163"/>
      <c r="BD123" s="741" t="s">
        <v>238</v>
      </c>
      <c r="BE123" s="741"/>
      <c r="BS123"/>
      <c r="CD123" s="149"/>
      <c r="CE123" s="65"/>
      <c r="CF123" s="65"/>
      <c r="CG123" s="65"/>
    </row>
    <row r="124" spans="1:85" ht="25.5" hidden="1" customHeight="1" outlineLevel="1" thickBot="1" x14ac:dyDescent="0.3">
      <c r="B124" s="34"/>
      <c r="C124" s="35"/>
      <c r="D124" s="695" t="s">
        <v>239</v>
      </c>
      <c r="E124" s="695"/>
      <c r="F124" s="773"/>
      <c r="G124" s="773"/>
      <c r="H124" s="773"/>
      <c r="I124" s="773"/>
      <c r="J124" s="773"/>
      <c r="K124" s="773"/>
      <c r="L124" s="773"/>
      <c r="M124" s="773"/>
      <c r="N124" s="773"/>
      <c r="O124" s="773"/>
      <c r="P124" s="773"/>
      <c r="Q124" s="773"/>
      <c r="R124" s="773"/>
      <c r="S124" s="773"/>
      <c r="T124" s="773"/>
      <c r="U124" s="773"/>
      <c r="V124" s="773"/>
      <c r="W124" s="773"/>
      <c r="X124" s="773"/>
      <c r="Y124" s="773"/>
      <c r="Z124" s="773"/>
      <c r="AA124" s="773"/>
      <c r="AB124" s="773"/>
      <c r="AC124" s="773"/>
      <c r="AD124" s="262"/>
      <c r="AE124" s="262"/>
      <c r="AF124" s="262"/>
      <c r="AG124" s="304"/>
      <c r="AH124" s="304"/>
      <c r="AI124" s="304"/>
      <c r="AJ124" s="304"/>
      <c r="AK124" s="304"/>
      <c r="AL124" s="304"/>
      <c r="AM124" s="304"/>
      <c r="AN124" s="172">
        <f t="shared" si="172"/>
        <v>0</v>
      </c>
      <c r="AO124" s="512">
        <f t="shared" si="173"/>
        <v>0</v>
      </c>
      <c r="AP124" s="536"/>
      <c r="AQ124" s="262"/>
      <c r="AR124" s="262"/>
      <c r="AS124" s="262"/>
      <c r="AT124" s="262"/>
      <c r="AU124" s="262"/>
      <c r="AV124" s="262"/>
      <c r="AW124" s="262"/>
      <c r="AX124" s="262"/>
      <c r="AY124" s="262"/>
      <c r="AZ124" s="298">
        <f t="shared" si="175"/>
        <v>0</v>
      </c>
      <c r="BB124" s="34"/>
      <c r="BC124" s="35"/>
      <c r="BD124" s="695" t="s">
        <v>239</v>
      </c>
      <c r="BE124" s="695"/>
      <c r="BS124"/>
      <c r="CD124" s="149"/>
      <c r="CE124" s="65"/>
      <c r="CF124" s="65"/>
      <c r="CG124" s="65"/>
    </row>
    <row r="125" spans="1:85" ht="25.5" hidden="1" customHeight="1" outlineLevel="1" thickBot="1" x14ac:dyDescent="0.3">
      <c r="A125" s="169"/>
      <c r="B125" s="166">
        <f t="shared" ref="B125:D126" si="185">B61</f>
        <v>0</v>
      </c>
      <c r="C125" s="160" t="str">
        <f t="shared" si="185"/>
        <v>GRA #3</v>
      </c>
      <c r="D125" s="19" t="str">
        <f t="shared" si="185"/>
        <v>Full year</v>
      </c>
      <c r="E125" s="260">
        <v>4.1000000000000003E-3</v>
      </c>
      <c r="F125" s="773"/>
      <c r="G125" s="773"/>
      <c r="H125" s="773"/>
      <c r="I125" s="773"/>
      <c r="J125" s="773"/>
      <c r="K125" s="773"/>
      <c r="L125" s="773"/>
      <c r="M125" s="773"/>
      <c r="N125" s="773"/>
      <c r="O125" s="773"/>
      <c r="P125" s="773"/>
      <c r="Q125" s="773"/>
      <c r="R125" s="773"/>
      <c r="S125" s="773"/>
      <c r="T125" s="773"/>
      <c r="U125" s="773"/>
      <c r="V125" s="773"/>
      <c r="W125" s="773"/>
      <c r="X125" s="773"/>
      <c r="Y125" s="773"/>
      <c r="Z125" s="773"/>
      <c r="AA125" s="773"/>
      <c r="AB125" s="773"/>
      <c r="AC125" s="773"/>
      <c r="AD125" s="170">
        <f>ROUND($E$125*AD61,0)</f>
        <v>0</v>
      </c>
      <c r="AE125" s="170">
        <f>ROUND($E$125*AE61,0)</f>
        <v>0</v>
      </c>
      <c r="AF125" s="170">
        <f>ROUND($E$125*AF61,0)</f>
        <v>0</v>
      </c>
      <c r="AG125" s="170">
        <f>ROUND($E$125*AG61,0)</f>
        <v>0</v>
      </c>
      <c r="AH125" s="170">
        <f>ROUND($E$125*AH61,0)</f>
        <v>0</v>
      </c>
      <c r="AI125" s="170">
        <f t="shared" ref="AI125:AM125" si="186">ROUND($E$125*AI61,0)</f>
        <v>0</v>
      </c>
      <c r="AJ125" s="170">
        <f t="shared" si="186"/>
        <v>0</v>
      </c>
      <c r="AK125" s="170">
        <f t="shared" si="186"/>
        <v>0</v>
      </c>
      <c r="AL125" s="170">
        <f t="shared" si="186"/>
        <v>0</v>
      </c>
      <c r="AM125" s="170">
        <f t="shared" si="186"/>
        <v>0</v>
      </c>
      <c r="AN125" s="171">
        <f t="shared" si="172"/>
        <v>0</v>
      </c>
      <c r="AO125" s="512">
        <f t="shared" si="173"/>
        <v>0</v>
      </c>
      <c r="AP125" s="537">
        <f>ROUND($E$125*AP61,0)</f>
        <v>0</v>
      </c>
      <c r="AQ125" s="295">
        <f>ROUND($E$125*AQ61,0)</f>
        <v>0</v>
      </c>
      <c r="AR125" s="295">
        <f>ROUND($E$125*AR61,0)</f>
        <v>0</v>
      </c>
      <c r="AS125" s="295">
        <f>ROUND($E$125*AS61,0)</f>
        <v>0</v>
      </c>
      <c r="AT125" s="295">
        <f>ROUND($E$125*AT61,0)</f>
        <v>0</v>
      </c>
      <c r="AU125" s="295">
        <f t="shared" ref="AU125:AY125" si="187">ROUND($E$125*AU61,0)</f>
        <v>0</v>
      </c>
      <c r="AV125" s="295">
        <f t="shared" si="187"/>
        <v>0</v>
      </c>
      <c r="AW125" s="295">
        <f t="shared" si="187"/>
        <v>0</v>
      </c>
      <c r="AX125" s="295">
        <f t="shared" si="187"/>
        <v>0</v>
      </c>
      <c r="AY125" s="295">
        <f t="shared" si="187"/>
        <v>0</v>
      </c>
      <c r="AZ125" s="296">
        <f t="shared" si="175"/>
        <v>0</v>
      </c>
      <c r="BB125" s="166">
        <f t="shared" ref="BB125:BD126" si="188">BN61</f>
        <v>0</v>
      </c>
      <c r="BC125" s="160" t="str">
        <f t="shared" si="188"/>
        <v>GRA #3</v>
      </c>
      <c r="BD125" s="19" t="str">
        <f t="shared" si="188"/>
        <v>Full year</v>
      </c>
      <c r="BE125" s="260">
        <v>4.1000000000000003E-3</v>
      </c>
      <c r="BS125"/>
      <c r="CE125" s="148"/>
      <c r="CF125" s="65"/>
      <c r="CG125" s="65"/>
    </row>
    <row r="126" spans="1:85" ht="25.5" hidden="1" customHeight="1" outlineLevel="1" thickTop="1" thickBot="1" x14ac:dyDescent="0.3">
      <c r="A126" s="169"/>
      <c r="B126" s="165">
        <f t="shared" si="185"/>
        <v>0</v>
      </c>
      <c r="C126" s="161">
        <f t="shared" si="185"/>
        <v>0</v>
      </c>
      <c r="D126" s="19" t="str">
        <f t="shared" si="185"/>
        <v>Summer</v>
      </c>
      <c r="E126" s="260">
        <v>8.0600000000000005E-2</v>
      </c>
      <c r="F126" s="773"/>
      <c r="G126" s="773"/>
      <c r="H126" s="773"/>
      <c r="I126" s="773"/>
      <c r="J126" s="773"/>
      <c r="K126" s="773"/>
      <c r="L126" s="773"/>
      <c r="M126" s="773"/>
      <c r="N126" s="773"/>
      <c r="O126" s="773"/>
      <c r="P126" s="773"/>
      <c r="Q126" s="773"/>
      <c r="R126" s="773"/>
      <c r="S126" s="773"/>
      <c r="T126" s="773"/>
      <c r="U126" s="773"/>
      <c r="V126" s="773"/>
      <c r="W126" s="773"/>
      <c r="X126" s="773"/>
      <c r="Y126" s="773"/>
      <c r="Z126" s="773"/>
      <c r="AA126" s="773"/>
      <c r="AB126" s="773"/>
      <c r="AC126" s="773"/>
      <c r="AD126" s="27">
        <f>ROUND($E$126*AD62,0)</f>
        <v>0</v>
      </c>
      <c r="AE126" s="27">
        <f>ROUND($E$126*AE62,0)</f>
        <v>0</v>
      </c>
      <c r="AF126" s="27">
        <f>ROUND($E$126*AF62,0)</f>
        <v>0</v>
      </c>
      <c r="AG126" s="27">
        <f>ROUND($E$126*AG62,0)</f>
        <v>0</v>
      </c>
      <c r="AH126" s="27">
        <f>ROUND($E$126*AH62,0)</f>
        <v>0</v>
      </c>
      <c r="AI126" s="27">
        <f t="shared" ref="AI126:AM126" si="189">ROUND($E$126*AI62,0)</f>
        <v>0</v>
      </c>
      <c r="AJ126" s="27">
        <f t="shared" si="189"/>
        <v>0</v>
      </c>
      <c r="AK126" s="27">
        <f t="shared" si="189"/>
        <v>0</v>
      </c>
      <c r="AL126" s="27">
        <f t="shared" si="189"/>
        <v>0</v>
      </c>
      <c r="AM126" s="27">
        <f t="shared" si="189"/>
        <v>0</v>
      </c>
      <c r="AN126" s="68">
        <f t="shared" si="172"/>
        <v>0</v>
      </c>
      <c r="AO126" s="512">
        <f t="shared" si="173"/>
        <v>0</v>
      </c>
      <c r="AP126" s="534">
        <f>ROUND($E$126*AP62,0)</f>
        <v>0</v>
      </c>
      <c r="AQ126" s="236">
        <f>ROUND($E$126*AQ62,0)</f>
        <v>0</v>
      </c>
      <c r="AR126" s="236">
        <f>ROUND($E$126*AR62,0)</f>
        <v>0</v>
      </c>
      <c r="AS126" s="236">
        <f>ROUND($E$126*AS62,0)</f>
        <v>0</v>
      </c>
      <c r="AT126" s="236">
        <f>ROUND($E$126*AT62,0)</f>
        <v>0</v>
      </c>
      <c r="AU126" s="236">
        <f t="shared" ref="AU126:AY126" si="190">ROUND($E$126*AU62,0)</f>
        <v>0</v>
      </c>
      <c r="AV126" s="236">
        <f t="shared" si="190"/>
        <v>0</v>
      </c>
      <c r="AW126" s="236">
        <f t="shared" si="190"/>
        <v>0</v>
      </c>
      <c r="AX126" s="236">
        <f t="shared" si="190"/>
        <v>0</v>
      </c>
      <c r="AY126" s="236">
        <f t="shared" si="190"/>
        <v>0</v>
      </c>
      <c r="AZ126" s="237">
        <f t="shared" si="175"/>
        <v>0</v>
      </c>
      <c r="BB126" s="165">
        <f t="shared" si="188"/>
        <v>0</v>
      </c>
      <c r="BC126" s="161">
        <f t="shared" si="188"/>
        <v>0</v>
      </c>
      <c r="BD126" s="19" t="str">
        <f t="shared" si="188"/>
        <v>Summer</v>
      </c>
      <c r="BE126" s="260">
        <v>8.0600000000000005E-2</v>
      </c>
      <c r="BS126"/>
      <c r="CE126" s="148"/>
      <c r="CF126" s="65"/>
      <c r="CG126" s="65"/>
    </row>
    <row r="127" spans="1:85" ht="25.5" hidden="1" customHeight="1" outlineLevel="1" thickTop="1" x14ac:dyDescent="0.25">
      <c r="B127" s="37"/>
      <c r="C127" s="163"/>
      <c r="D127" s="741" t="s">
        <v>238</v>
      </c>
      <c r="E127" s="741"/>
      <c r="F127" s="773"/>
      <c r="G127" s="773"/>
      <c r="H127" s="773"/>
      <c r="I127" s="773"/>
      <c r="J127" s="773"/>
      <c r="K127" s="773"/>
      <c r="L127" s="773"/>
      <c r="M127" s="773"/>
      <c r="N127" s="773"/>
      <c r="O127" s="773"/>
      <c r="P127" s="773"/>
      <c r="Q127" s="773"/>
      <c r="R127" s="773"/>
      <c r="S127" s="773"/>
      <c r="T127" s="773"/>
      <c r="U127" s="773"/>
      <c r="V127" s="773"/>
      <c r="W127" s="773"/>
      <c r="X127" s="773"/>
      <c r="Y127" s="773"/>
      <c r="Z127" s="773"/>
      <c r="AA127" s="773"/>
      <c r="AB127" s="773"/>
      <c r="AC127" s="773"/>
      <c r="AD127" s="36" cm="1">
        <f t="array" ref="AD127">_xlfn.IFNA(_xlfn.IFS(AND(G61=20,S61=8.77,$D$125="Full year"),Rates!$C$21*$B$125,
AND(G61=20,S61=4.39,$D$125="Fall"),Rates!$C$22*$B$125,
AND(G61=20,S61=4.39,$D$125="Spring"),Rates!$C$23*$B$125)*1.05^G$2,0)</f>
        <v>0</v>
      </c>
      <c r="AE127" s="36" cm="1">
        <f t="array" ref="AE127">_xlfn.IFNA(_xlfn.IFS(AND(H61=20,T61=8.77,$D$125="Full year"),Rates!$C$21*$B$125,
AND(H61=20,T61=4.39,$D$125="Fall"),Rates!$C$22*$B$125,
AND(H61=20,T61=4.39,$D$125="Spring"),Rates!$C$23*$B$125)*1.05^H$2,0)</f>
        <v>0</v>
      </c>
      <c r="AF127" s="36" cm="1">
        <f t="array" ref="AF127">_xlfn.IFNA(_xlfn.IFS(AND(I61=20,U61=8.77,$D$125="Full year"),Rates!$C$21*$B$125,
AND(I61=20,U61=4.39,$D$125="Fall"),Rates!$C$22*$B$125,
AND(I61=20,U61=4.39,$D$125="Spring"),Rates!$C$23*$B$125)*1.05^I$2,0)</f>
        <v>0</v>
      </c>
      <c r="AG127" s="36" cm="1">
        <f t="array" ref="AG127">_xlfn.IFNA(_xlfn.IFS(AND(J61=20,V61=8.77,$D$125="Full year"),Rates!$C$21*$B$125,
AND(J61=20,V61=4.39,$D$125="Fall"),Rates!$C$22*$B$125,
AND(J61=20,V61=4.39,$D$125="Spring"),Rates!$C$23*$B$125)*1.05^J$2,0)</f>
        <v>0</v>
      </c>
      <c r="AH127" s="36" cm="1">
        <f t="array" ref="AH127">_xlfn.IFNA(_xlfn.IFS(AND(K61=20,W61=8.77,$D$125="Full year"),Rates!$C$21*$B$125,
AND(K61=20,W61=4.39,$D$125="Fall"),Rates!$C$22*$B$125,
AND(K61=20,W61=4.39,$D$125="Spring"),Rates!$C$23*$B$125)*1.05^K$2,0)</f>
        <v>0</v>
      </c>
      <c r="AI127" s="36" cm="1">
        <f t="array" ref="AI127">_xlfn.IFNA(_xlfn.IFS(AND(L61=20,X61=8.77,$D$125="Full year"),Rates!$C$21*$B$125,
AND(L61=20,X61=4.39,$D$125="Fall"),Rates!$C$22*$B$125,
AND(L61=20,X61=4.39,$D$125="Spring"),Rates!$C$23*$B$125)*1.05^L$2,0)</f>
        <v>0</v>
      </c>
      <c r="AJ127" s="36" cm="1">
        <f t="array" ref="AJ127">_xlfn.IFNA(_xlfn.IFS(AND(M61=20,Y61=8.77,$D$125="Full year"),Rates!$C$21*$B$125,
AND(M61=20,Y61=4.39,$D$125="Fall"),Rates!$C$22*$B$125,
AND(M61=20,Y61=4.39,$D$125="Spring"),Rates!$C$23*$B$125)*1.05^M$2,0)</f>
        <v>0</v>
      </c>
      <c r="AK127" s="36" cm="1">
        <f t="array" ref="AK127">_xlfn.IFNA(_xlfn.IFS(AND(N61=20,Z61=8.77,$D$125="Full year"),Rates!$C$21*$B$125,
AND(N61=20,Z61=4.39,$D$125="Fall"),Rates!$C$22*$B$125,
AND(N61=20,Z61=4.39,$D$125="Spring"),Rates!$C$23*$B$125)*1.05^N$2,0)</f>
        <v>0</v>
      </c>
      <c r="AL127" s="36" cm="1">
        <f t="array" ref="AL127">_xlfn.IFNA(_xlfn.IFS(AND(O61=20,AA61=8.77,$D$125="Full year"),Rates!$C$21*$B$125,
AND(O61=20,AA61=4.39,$D$125="Fall"),Rates!$C$22*$B$125,
AND(O61=20,AA61=4.39,$D$125="Spring"),Rates!$C$23*$B$125)*1.05^O$2,0)</f>
        <v>0</v>
      </c>
      <c r="AM127" s="36" cm="1">
        <f t="array" ref="AM127">_xlfn.IFNA(_xlfn.IFS(AND(P61=20,AB61=8.77,$D$125="Full year"),Rates!$C$21*$B$125,
AND(P61=20,AB61=4.39,$D$125="Fall"),Rates!$C$22*$B$125,
AND(P61=20,AB61=4.39,$D$125="Spring"),Rates!$C$23*$B$125)*1.05^P$2,0)</f>
        <v>0</v>
      </c>
      <c r="AN127" s="70">
        <f t="shared" si="172"/>
        <v>0</v>
      </c>
      <c r="AO127" s="512">
        <f t="shared" si="173"/>
        <v>0</v>
      </c>
      <c r="AP127" s="535" cm="1">
        <f t="array" ref="AP127">_xlfn.IFNA(_xlfn.IFS(AND(BB61=20,BT61=8.77,$BD$125="Full year"),Rates!$C$21*$BB$125,
AND(BB61=20,BT61=4.39,$BD$125="Fall"),Rates!$C$22*$BB$125,
AND(BB61=20,BT61=4.39,$BD$125="Spring"),Rates!$C$23*$BB$125)*1.05^G$2,0)</f>
        <v>0</v>
      </c>
      <c r="AQ127" s="238" cm="1">
        <f t="array" ref="AQ127">_xlfn.IFNA(_xlfn.IFS(AND(BC61=20,BU61=8.77,$BD$125="Full year"),Rates!$C$21*$BB$125,
AND(BC61=20,BU61=4.39,$BD$125="Fall"),Rates!$C$22*$BB$125,
AND(BC61=20,BU61=4.39,$BD$125="Spring"),Rates!$C$23*$BB$125)*1.05^H$2,0)</f>
        <v>0</v>
      </c>
      <c r="AR127" s="238" cm="1">
        <f t="array" ref="AR127">_xlfn.IFNA(_xlfn.IFS(AND(BD61=20,BV61=8.77,$BD$125="Full year"),Rates!$C$21*$BB$125,
AND(BD61=20,BV61=4.39,$BD$125="Fall"),Rates!$C$22*$BB$125,
AND(BD61=20,BV61=4.39,$BD$125="Spring"),Rates!$C$23*$BB$125)*1.05^I$2,0)</f>
        <v>0</v>
      </c>
      <c r="AS127" s="238" cm="1">
        <f t="array" ref="AS127">_xlfn.IFNA(_xlfn.IFS(AND(BE61=20,BW61=8.77,$BD$125="Full year"),Rates!$C$21*$BB$125,
AND(BE61=20,BW61=4.39,$BD$125="Fall"),Rates!$C$22*$BB$125,
AND(BE61=20,BW61=4.39,$BD$125="Spring"),Rates!$C$23*$BB$125)*1.05^J$2,0)</f>
        <v>0</v>
      </c>
      <c r="AT127" s="238" cm="1">
        <f t="array" ref="AT127">_xlfn.IFNA(_xlfn.IFS(AND(BF61=20,BX61=8.77,$BD$125="Full year"),Rates!$C$21*$BB$125,
AND(BF61=20,BX61=4.39,$BD$125="Fall"),Rates!$C$22*$BB$125,
AND(BF61=20,BX61=4.39,$BD$125="Spring"),Rates!$C$23*$BB$125)*1.05^K$2,0)</f>
        <v>0</v>
      </c>
      <c r="AU127" s="238" cm="1">
        <f t="array" ref="AU127">_xlfn.IFNA(_xlfn.IFS(AND(BG61=20,BY61=8.77,$BD$125="Full year"),Rates!$C$21*$BB$125,
AND(BG61=20,BY61=4.39,$BD$125="Fall"),Rates!$C$22*$BB$125,
AND(BG61=20,BY61=4.39,$BD$125="Spring"),Rates!$C$23*$BB$125)*1.05^L$2,0)</f>
        <v>0</v>
      </c>
      <c r="AV127" s="238" cm="1">
        <f t="array" ref="AV127">_xlfn.IFNA(_xlfn.IFS(AND(BH61=20,BZ61=8.77,$BD$125="Full year"),Rates!$C$21*$BB$125,
AND(BH61=20,BZ61=4.39,$BD$125="Fall"),Rates!$C$22*$BB$125,
AND(BH61=20,BZ61=4.39,$BD$125="Spring"),Rates!$C$23*$BB$125)*1.05^M$2,0)</f>
        <v>0</v>
      </c>
      <c r="AW127" s="238" cm="1">
        <f t="array" ref="AW127">_xlfn.IFNA(_xlfn.IFS(AND(BI61=20,CA61=8.77,$BD$125="Full year"),Rates!$C$21*$BB$125,
AND(BI61=20,CA61=4.39,$BD$125="Fall"),Rates!$C$22*$BB$125,
AND(BI61=20,CA61=4.39,$BD$125="Spring"),Rates!$C$23*$BB$125)*1.05^N$2,0)</f>
        <v>0</v>
      </c>
      <c r="AX127" s="238" cm="1">
        <f t="array" ref="AX127">_xlfn.IFNA(_xlfn.IFS(AND(BJ61=20,CB61=8.77,$BD$125="Full year"),Rates!$C$21*$BB$125,
AND(BJ61=20,CB61=4.39,$BD$125="Fall"),Rates!$C$22*$BB$125,
AND(BJ61=20,CB61=4.39,$BD$125="Spring"),Rates!$C$23*$BB$125)*1.05^O$2,0)</f>
        <v>0</v>
      </c>
      <c r="AY127" s="238" cm="1">
        <f t="array" ref="AY127">_xlfn.IFNA(_xlfn.IFS(AND(BK61=20,CC61=8.77,$BD$125="Full year"),Rates!$C$21*$BB$125,
AND(BK61=20,CC61=4.39,$BD$125="Fall"),Rates!$C$22*$BB$125,
AND(BK61=20,CC61=4.39,$BD$125="Spring"),Rates!$C$23*$BB$125)*1.05^P$2,0)</f>
        <v>0</v>
      </c>
      <c r="AZ127" s="240">
        <f t="shared" si="175"/>
        <v>0</v>
      </c>
      <c r="BB127" s="37"/>
      <c r="BC127" s="163"/>
      <c r="BD127" s="741" t="s">
        <v>238</v>
      </c>
      <c r="BE127" s="741"/>
      <c r="BS127"/>
      <c r="CE127" s="148"/>
      <c r="CF127" s="65"/>
      <c r="CG127" s="65"/>
    </row>
    <row r="128" spans="1:85" ht="25.5" hidden="1" customHeight="1" outlineLevel="1" thickBot="1" x14ac:dyDescent="0.3">
      <c r="B128" s="34"/>
      <c r="C128" s="35"/>
      <c r="D128" s="695" t="s">
        <v>239</v>
      </c>
      <c r="E128" s="695"/>
      <c r="F128" s="773"/>
      <c r="G128" s="773"/>
      <c r="H128" s="773"/>
      <c r="I128" s="773"/>
      <c r="J128" s="773"/>
      <c r="K128" s="773"/>
      <c r="L128" s="773"/>
      <c r="M128" s="773"/>
      <c r="N128" s="773"/>
      <c r="O128" s="773"/>
      <c r="P128" s="773"/>
      <c r="Q128" s="773"/>
      <c r="R128" s="773"/>
      <c r="S128" s="773"/>
      <c r="T128" s="773"/>
      <c r="U128" s="773"/>
      <c r="V128" s="773"/>
      <c r="W128" s="773"/>
      <c r="X128" s="773"/>
      <c r="Y128" s="773"/>
      <c r="Z128" s="773"/>
      <c r="AA128" s="773"/>
      <c r="AB128" s="773"/>
      <c r="AC128" s="773"/>
      <c r="AD128" s="262"/>
      <c r="AE128" s="262"/>
      <c r="AF128" s="262"/>
      <c r="AG128" s="304"/>
      <c r="AH128" s="304"/>
      <c r="AI128" s="304"/>
      <c r="AJ128" s="304"/>
      <c r="AK128" s="304"/>
      <c r="AL128" s="304"/>
      <c r="AM128" s="304"/>
      <c r="AN128" s="172">
        <f>SUM(AD128:AM128)</f>
        <v>0</v>
      </c>
      <c r="AO128" s="512">
        <f t="shared" si="173"/>
        <v>0</v>
      </c>
      <c r="AP128" s="536"/>
      <c r="AQ128" s="262"/>
      <c r="AR128" s="262"/>
      <c r="AS128" s="262"/>
      <c r="AT128" s="262"/>
      <c r="AU128" s="262"/>
      <c r="AV128" s="262"/>
      <c r="AW128" s="262"/>
      <c r="AX128" s="262"/>
      <c r="AY128" s="262"/>
      <c r="AZ128" s="298">
        <f t="shared" si="175"/>
        <v>0</v>
      </c>
      <c r="BB128" s="34"/>
      <c r="BC128" s="35"/>
      <c r="BD128" s="695" t="s">
        <v>239</v>
      </c>
      <c r="BE128" s="695"/>
      <c r="BS128"/>
      <c r="CE128" s="148"/>
      <c r="CF128" s="65"/>
      <c r="CG128" s="65"/>
    </row>
    <row r="129" spans="1:85" ht="25.5" hidden="1" customHeight="1" outlineLevel="1" thickBot="1" x14ac:dyDescent="0.3">
      <c r="A129" s="169"/>
      <c r="B129" s="167">
        <f>B63</f>
        <v>0</v>
      </c>
      <c r="C129" s="160" t="str">
        <f>C63</f>
        <v>GRA #4</v>
      </c>
      <c r="D129" s="19" t="str">
        <f>D63</f>
        <v>Full year</v>
      </c>
      <c r="E129" s="263">
        <v>4.1000000000000003E-3</v>
      </c>
      <c r="F129" s="773"/>
      <c r="G129" s="773"/>
      <c r="H129" s="773"/>
      <c r="I129" s="773"/>
      <c r="J129" s="773"/>
      <c r="K129" s="773"/>
      <c r="L129" s="773"/>
      <c r="M129" s="773"/>
      <c r="N129" s="773"/>
      <c r="O129" s="773"/>
      <c r="P129" s="773"/>
      <c r="Q129" s="773"/>
      <c r="R129" s="773"/>
      <c r="S129" s="773"/>
      <c r="T129" s="773"/>
      <c r="U129" s="773"/>
      <c r="V129" s="773"/>
      <c r="W129" s="773"/>
      <c r="X129" s="773"/>
      <c r="Y129" s="773"/>
      <c r="Z129" s="773"/>
      <c r="AA129" s="773"/>
      <c r="AB129" s="773"/>
      <c r="AC129" s="773"/>
      <c r="AD129" s="170">
        <f>ROUND($E$129*AD63,0)</f>
        <v>0</v>
      </c>
      <c r="AE129" s="170">
        <f>ROUND($E$129*AE63,0)</f>
        <v>0</v>
      </c>
      <c r="AF129" s="170">
        <f>ROUND($E$129*AF63,0)</f>
        <v>0</v>
      </c>
      <c r="AG129" s="170">
        <f>ROUND($E$129*AG63,0)</f>
        <v>0</v>
      </c>
      <c r="AH129" s="170">
        <f>ROUND($E$129*AH63,0)</f>
        <v>0</v>
      </c>
      <c r="AI129" s="170">
        <f t="shared" ref="AI129:AM129" si="191">ROUND($E$129*AI63,0)</f>
        <v>0</v>
      </c>
      <c r="AJ129" s="170">
        <f t="shared" si="191"/>
        <v>0</v>
      </c>
      <c r="AK129" s="170">
        <f t="shared" si="191"/>
        <v>0</v>
      </c>
      <c r="AL129" s="170">
        <f t="shared" si="191"/>
        <v>0</v>
      </c>
      <c r="AM129" s="170">
        <f t="shared" si="191"/>
        <v>0</v>
      </c>
      <c r="AN129" s="171">
        <f t="shared" si="172"/>
        <v>0</v>
      </c>
      <c r="AO129" s="512">
        <f t="shared" si="173"/>
        <v>0</v>
      </c>
      <c r="AP129" s="537">
        <f>ROUND($E$129*AP63,0)</f>
        <v>0</v>
      </c>
      <c r="AQ129" s="295">
        <f>ROUND($E$129*AQ63,0)</f>
        <v>0</v>
      </c>
      <c r="AR129" s="295">
        <f>ROUND($E$129*AR63,0)</f>
        <v>0</v>
      </c>
      <c r="AS129" s="295">
        <f>ROUND($E$129*AS63,0)</f>
        <v>0</v>
      </c>
      <c r="AT129" s="295">
        <f>ROUND($E$129*AT63,0)</f>
        <v>0</v>
      </c>
      <c r="AU129" s="295">
        <f t="shared" ref="AU129:AY129" si="192">ROUND($E$129*AU63,0)</f>
        <v>0</v>
      </c>
      <c r="AV129" s="295">
        <f t="shared" si="192"/>
        <v>0</v>
      </c>
      <c r="AW129" s="295">
        <f t="shared" si="192"/>
        <v>0</v>
      </c>
      <c r="AX129" s="295">
        <f t="shared" si="192"/>
        <v>0</v>
      </c>
      <c r="AY129" s="295">
        <f t="shared" si="192"/>
        <v>0</v>
      </c>
      <c r="AZ129" s="299">
        <f t="shared" si="175"/>
        <v>0</v>
      </c>
      <c r="BB129" s="167">
        <f>BN63</f>
        <v>0</v>
      </c>
      <c r="BC129" s="160" t="str">
        <f>BO63</f>
        <v>GRA #4</v>
      </c>
      <c r="BD129" s="19" t="str">
        <f>BP63</f>
        <v>Full year</v>
      </c>
      <c r="BE129" s="263">
        <v>4.1000000000000003E-3</v>
      </c>
      <c r="BS129"/>
      <c r="CE129" s="148"/>
      <c r="CF129" s="65"/>
      <c r="CG129" s="65"/>
    </row>
    <row r="130" spans="1:85" ht="25.5" hidden="1" customHeight="1" outlineLevel="1" thickTop="1" thickBot="1" x14ac:dyDescent="0.3">
      <c r="A130" s="169"/>
      <c r="B130" s="168">
        <f>B62</f>
        <v>0</v>
      </c>
      <c r="C130" s="161">
        <f>C64</f>
        <v>0</v>
      </c>
      <c r="D130" s="19" t="str">
        <f>D64</f>
        <v>Summer</v>
      </c>
      <c r="E130" s="263">
        <v>8.0600000000000005E-2</v>
      </c>
      <c r="F130" s="773"/>
      <c r="G130" s="773"/>
      <c r="H130" s="773"/>
      <c r="I130" s="773"/>
      <c r="J130" s="773"/>
      <c r="K130" s="773"/>
      <c r="L130" s="773"/>
      <c r="M130" s="773"/>
      <c r="N130" s="773"/>
      <c r="O130" s="773"/>
      <c r="P130" s="773"/>
      <c r="Q130" s="773"/>
      <c r="R130" s="773"/>
      <c r="S130" s="773"/>
      <c r="T130" s="773"/>
      <c r="U130" s="773"/>
      <c r="V130" s="773"/>
      <c r="W130" s="773"/>
      <c r="X130" s="773"/>
      <c r="Y130" s="773"/>
      <c r="Z130" s="773"/>
      <c r="AA130" s="773"/>
      <c r="AB130" s="773"/>
      <c r="AC130" s="773"/>
      <c r="AD130" s="27">
        <f>ROUND($E$130*AD64,0)</f>
        <v>0</v>
      </c>
      <c r="AE130" s="27">
        <f>ROUND($E$130*AE64,0)</f>
        <v>0</v>
      </c>
      <c r="AF130" s="27">
        <f>ROUND($E$130*AF64,0)</f>
        <v>0</v>
      </c>
      <c r="AG130" s="27">
        <f>ROUND($E$130*AG64,0)</f>
        <v>0</v>
      </c>
      <c r="AH130" s="27">
        <f>ROUND($E$130*AH64,0)</f>
        <v>0</v>
      </c>
      <c r="AI130" s="27">
        <f t="shared" ref="AI130:AM130" si="193">ROUND($E$130*AI64,0)</f>
        <v>0</v>
      </c>
      <c r="AJ130" s="27">
        <f t="shared" si="193"/>
        <v>0</v>
      </c>
      <c r="AK130" s="27">
        <f t="shared" si="193"/>
        <v>0</v>
      </c>
      <c r="AL130" s="27">
        <f t="shared" si="193"/>
        <v>0</v>
      </c>
      <c r="AM130" s="27">
        <f t="shared" si="193"/>
        <v>0</v>
      </c>
      <c r="AN130" s="68">
        <f t="shared" si="172"/>
        <v>0</v>
      </c>
      <c r="AO130" s="512">
        <f t="shared" si="173"/>
        <v>0</v>
      </c>
      <c r="AP130" s="534">
        <f>ROUND($E$130*AP64,0)</f>
        <v>0</v>
      </c>
      <c r="AQ130" s="236">
        <f>ROUND($E$130*AQ64,0)</f>
        <v>0</v>
      </c>
      <c r="AR130" s="236">
        <f>ROUND($E$130*AR64,0)</f>
        <v>0</v>
      </c>
      <c r="AS130" s="236">
        <f>ROUND($E$130*AS64,0)</f>
        <v>0</v>
      </c>
      <c r="AT130" s="236">
        <f>ROUND($E$130*AT64,0)</f>
        <v>0</v>
      </c>
      <c r="AU130" s="236">
        <f t="shared" ref="AU130:AY130" si="194">ROUND($E$130*AU64,0)</f>
        <v>0</v>
      </c>
      <c r="AV130" s="236">
        <f t="shared" si="194"/>
        <v>0</v>
      </c>
      <c r="AW130" s="236">
        <f t="shared" si="194"/>
        <v>0</v>
      </c>
      <c r="AX130" s="236">
        <f t="shared" si="194"/>
        <v>0</v>
      </c>
      <c r="AY130" s="236">
        <f t="shared" si="194"/>
        <v>0</v>
      </c>
      <c r="AZ130" s="237">
        <f t="shared" si="175"/>
        <v>0</v>
      </c>
      <c r="BB130" s="168">
        <f>BN62</f>
        <v>0</v>
      </c>
      <c r="BC130" s="161">
        <f>BO64</f>
        <v>0</v>
      </c>
      <c r="BD130" s="19" t="str">
        <f>BP64</f>
        <v>Summer</v>
      </c>
      <c r="BE130" s="263">
        <v>8.0600000000000005E-2</v>
      </c>
      <c r="BS130"/>
      <c r="CE130" s="148"/>
      <c r="CF130" s="65"/>
      <c r="CG130" s="65"/>
    </row>
    <row r="131" spans="1:85" ht="25.5" hidden="1" customHeight="1" outlineLevel="1" thickTop="1" x14ac:dyDescent="0.25">
      <c r="B131" s="37"/>
      <c r="C131" s="163"/>
      <c r="D131" s="741" t="s">
        <v>238</v>
      </c>
      <c r="E131" s="741"/>
      <c r="F131" s="773"/>
      <c r="G131" s="773"/>
      <c r="H131" s="773"/>
      <c r="I131" s="773"/>
      <c r="J131" s="773"/>
      <c r="K131" s="773"/>
      <c r="L131" s="773"/>
      <c r="M131" s="773"/>
      <c r="N131" s="773"/>
      <c r="O131" s="773"/>
      <c r="P131" s="773"/>
      <c r="Q131" s="773"/>
      <c r="R131" s="773"/>
      <c r="S131" s="773"/>
      <c r="T131" s="773"/>
      <c r="U131" s="773"/>
      <c r="V131" s="773"/>
      <c r="W131" s="773"/>
      <c r="X131" s="773"/>
      <c r="Y131" s="773"/>
      <c r="Z131" s="773"/>
      <c r="AA131" s="773"/>
      <c r="AB131" s="773"/>
      <c r="AC131" s="773"/>
      <c r="AD131" s="36" cm="1">
        <f t="array" ref="AD131">_xlfn.IFNA(_xlfn.IFS(AND(G63=20,S63=8.77,$D$129="Full year"),Rates!$C$21*$B$129,
AND(G63=20,S63=4.39,$D$129="Fall"),Rates!$C$22*$B$129,
AND(G63=20,S63=4.39,$D$129="Spring"),Rates!$C$23*$B$129)*1.05^G$2,0)</f>
        <v>0</v>
      </c>
      <c r="AE131" s="36" cm="1">
        <f t="array" ref="AE131">_xlfn.IFNA(_xlfn.IFS(AND(H63=20,T63=8.77,$D$129="Full year"),Rates!$C$21*$B$129,
AND(H63=20,T63=4.39,$D$129="Fall"),Rates!$C$22*$B$129,
AND(H63=20,T63=4.39,$D$129="Spring"),Rates!$C$23*$B$129)*1.05^H$2,0)</f>
        <v>0</v>
      </c>
      <c r="AF131" s="36" cm="1">
        <f t="array" ref="AF131">_xlfn.IFNA(_xlfn.IFS(AND(I63=20,U63=8.77,$D$129="Full year"),Rates!$C$21*$B$129,
AND(I63=20,U63=4.39,$D$129="Fall"),Rates!$C$22*$B$129,
AND(I63=20,U63=4.39,$D$129="Spring"),Rates!$C$23*$B$129)*1.05^I$2,0)</f>
        <v>0</v>
      </c>
      <c r="AG131" s="36" cm="1">
        <f t="array" ref="AG131">_xlfn.IFNA(_xlfn.IFS(AND(J63=20,V63=8.77,$D$129="Full year"),Rates!$C$21*$B$129,
AND(J63=20,V63=4.39,$D$129="Fall"),Rates!$C$22*$B$129,
AND(J63=20,V63=4.39,$D$129="Spring"),Rates!$C$23*$B$129)*1.05^J$2,0)</f>
        <v>0</v>
      </c>
      <c r="AH131" s="36" cm="1">
        <f t="array" ref="AH131">_xlfn.IFNA(_xlfn.IFS(AND(K63=20,W63=8.77,$D$129="Full year"),Rates!$C$21*$B$129,
AND(K63=20,W63=4.39,$D$129="Fall"),Rates!$C$22*$B$129,
AND(K63=20,W63=4.39,$D$129="Spring"),Rates!$C$23*$B$129)*1.05^K$2,0)</f>
        <v>0</v>
      </c>
      <c r="AI131" s="36" cm="1">
        <f t="array" ref="AI131">_xlfn.IFNA(_xlfn.IFS(AND(L63=20,X63=8.77,$D$129="Full year"),Rates!$C$21*$B$129,
AND(L63=20,X63=4.39,$D$129="Fall"),Rates!$C$22*$B$129,
AND(L63=20,X63=4.39,$D$129="Spring"),Rates!$C$23*$B$129)*1.05^L$2,0)</f>
        <v>0</v>
      </c>
      <c r="AJ131" s="36" cm="1">
        <f t="array" ref="AJ131">_xlfn.IFNA(_xlfn.IFS(AND(M63=20,Y63=8.77,$D$129="Full year"),Rates!$C$21*$B$129,
AND(M63=20,Y63=4.39,$D$129="Fall"),Rates!$C$22*$B$129,
AND(M63=20,Y63=4.39,$D$129="Spring"),Rates!$C$23*$B$129)*1.05^M$2,0)</f>
        <v>0</v>
      </c>
      <c r="AK131" s="36" cm="1">
        <f t="array" ref="AK131">_xlfn.IFNA(_xlfn.IFS(AND(N63=20,Z63=8.77,$D$129="Full year"),Rates!$C$21*$B$129,
AND(N63=20,Z63=4.39,$D$129="Fall"),Rates!$C$22*$B$129,
AND(N63=20,Z63=4.39,$D$129="Spring"),Rates!$C$23*$B$129)*1.05^N$2,0)</f>
        <v>0</v>
      </c>
      <c r="AL131" s="36" cm="1">
        <f t="array" ref="AL131">_xlfn.IFNA(_xlfn.IFS(AND(O63=20,AA63=8.77,$D$129="Full year"),Rates!$C$21*$B$129,
AND(O63=20,AA63=4.39,$D$129="Fall"),Rates!$C$22*$B$129,
AND(O63=20,AA63=4.39,$D$129="Spring"),Rates!$C$23*$B$129)*1.05^O$2,0)</f>
        <v>0</v>
      </c>
      <c r="AM131" s="36" cm="1">
        <f t="array" ref="AM131">_xlfn.IFNA(_xlfn.IFS(AND(P63=20,AB63=8.77,$D$129="Full year"),Rates!$C$21*$B$129,
AND(P63=20,AB63=4.39,$D$129="Fall"),Rates!$C$22*$B$129,
AND(P63=20,AB63=4.39,$D$129="Spring"),Rates!$C$23*$B$129)*1.05^P$2,0)</f>
        <v>0</v>
      </c>
      <c r="AN131" s="70">
        <f t="shared" si="172"/>
        <v>0</v>
      </c>
      <c r="AO131" s="512">
        <f t="shared" si="173"/>
        <v>0</v>
      </c>
      <c r="AP131" s="535" cm="1">
        <f t="array" ref="AP131">_xlfn.IFNA(_xlfn.IFS(AND(BB63=20,BT63=8.77,$BD$129="Full year"),Rates!$C$21*$BB$129,
AND(BB63=20,BT63=4.39,$BD$129="Fall"),Rates!$C$21*$BB$129,
AND(BB63=20,BT63=4.39,$BD$129="Spring"),Rates!$C$21*$BB$129)*1.05^G$2,0)</f>
        <v>0</v>
      </c>
      <c r="AQ131" s="238" cm="1">
        <f t="array" ref="AQ131">_xlfn.IFNA(_xlfn.IFS(AND(BC63=20,BU63=8.77,$BD$129="Full year"),Rates!$C$21*$BB$129,
AND(BC63=20,BU63=4.39,$BD$129="Fall"),Rates!$C$21*$BB$129,
AND(BC63=20,BU63=4.39,$BD$129="Spring"),Rates!$C$21*$BB$129)*1.05^H$2,0)</f>
        <v>0</v>
      </c>
      <c r="AR131" s="238" cm="1">
        <f t="array" ref="AR131">_xlfn.IFNA(_xlfn.IFS(AND(BD63=20,BV63=8.77,$BD$129="Full year"),Rates!$C$21*$BB$129,
AND(BD63=20,BV63=4.39,$BD$129="Fall"),Rates!$C$21*$BB$129,
AND(BD63=20,BV63=4.39,$BD$129="Spring"),Rates!$C$21*$BB$129)*1.05^I$2,0)</f>
        <v>0</v>
      </c>
      <c r="AS131" s="238" cm="1">
        <f t="array" ref="AS131">_xlfn.IFNA(_xlfn.IFS(AND(BE63=20,BW63=8.77,$BD$129="Full year"),Rates!$C$21*$BB$129,
AND(BE63=20,BW63=4.39,$BD$129="Fall"),Rates!$C$21*$BB$129,
AND(BE63=20,BW63=4.39,$BD$129="Spring"),Rates!$C$21*$BB$129)*1.05^J$2,0)</f>
        <v>0</v>
      </c>
      <c r="AT131" s="238" cm="1">
        <f t="array" ref="AT131">_xlfn.IFNA(_xlfn.IFS(AND(BF63=20,BX63=8.77,$BD$129="Full year"),Rates!$C$21*$BB$129,
AND(BF63=20,BX63=4.39,$BD$129="Fall"),Rates!$C$21*$BB$129,
AND(BF63=20,BX63=4.39,$BD$129="Spring"),Rates!$C$21*$BB$129)*1.05^K$2,0)</f>
        <v>0</v>
      </c>
      <c r="AU131" s="238" cm="1">
        <f t="array" ref="AU131">_xlfn.IFNA(_xlfn.IFS(AND(BG63=20,BY63=8.77,$BD$129="Full year"),Rates!$C$21*$BB$129,
AND(BG63=20,BY63=4.39,$BD$129="Fall"),Rates!$C$21*$BB$129,
AND(BG63=20,BY63=4.39,$BD$129="Spring"),Rates!$C$21*$BB$129)*1.05^L$2,0)</f>
        <v>0</v>
      </c>
      <c r="AV131" s="238" cm="1">
        <f t="array" ref="AV131">_xlfn.IFNA(_xlfn.IFS(AND(BH63=20,BZ63=8.77,$BD$129="Full year"),Rates!$C$21*$BB$129,
AND(BH63=20,BZ63=4.39,$BD$129="Fall"),Rates!$C$21*$BB$129,
AND(BH63=20,BZ63=4.39,$BD$129="Spring"),Rates!$C$21*$BB$129)*1.05^M$2,0)</f>
        <v>0</v>
      </c>
      <c r="AW131" s="238" cm="1">
        <f t="array" ref="AW131">_xlfn.IFNA(_xlfn.IFS(AND(BI63=20,CA63=8.77,$BD$129="Full year"),Rates!$C$21*$BB$129,
AND(BI63=20,CA63=4.39,$BD$129="Fall"),Rates!$C$21*$BB$129,
AND(BI63=20,CA63=4.39,$BD$129="Spring"),Rates!$C$21*$BB$129)*1.05^N$2,0)</f>
        <v>0</v>
      </c>
      <c r="AX131" s="238" cm="1">
        <f t="array" ref="AX131">_xlfn.IFNA(_xlfn.IFS(AND(BJ63=20,CB63=8.77,$BD$129="Full year"),Rates!$C$21*$BB$129,
AND(BJ63=20,CB63=4.39,$BD$129="Fall"),Rates!$C$21*$BB$129,
AND(BJ63=20,CB63=4.39,$BD$129="Spring"),Rates!$C$21*$BB$129)*1.05^O$2,0)</f>
        <v>0</v>
      </c>
      <c r="AY131" s="238" cm="1">
        <f t="array" ref="AY131">_xlfn.IFNA(_xlfn.IFS(AND(BK63=20,CC63=8.77,$BD$129="Full year"),Rates!$C$21*$BB$129,
AND(BK63=20,CC63=4.39,$BD$129="Fall"),Rates!$C$21*$BB$129,
AND(BK63=20,CC63=4.39,$BD$129="Spring"),Rates!$C$21*$BB$129)*1.05^P$2,0)</f>
        <v>0</v>
      </c>
      <c r="AZ131" s="324">
        <f t="shared" si="175"/>
        <v>0</v>
      </c>
      <c r="BB131" s="37"/>
      <c r="BC131" s="163"/>
      <c r="BD131" s="741" t="s">
        <v>238</v>
      </c>
      <c r="BE131" s="741"/>
      <c r="BS131"/>
      <c r="CE131" s="148"/>
      <c r="CF131" s="65"/>
      <c r="CG131" s="65"/>
    </row>
    <row r="132" spans="1:85" ht="25.5" hidden="1" customHeight="1" outlineLevel="1" thickBot="1" x14ac:dyDescent="0.3">
      <c r="B132" s="34"/>
      <c r="C132" s="35"/>
      <c r="D132" s="695" t="s">
        <v>239</v>
      </c>
      <c r="E132" s="695"/>
      <c r="F132" s="773"/>
      <c r="G132" s="773"/>
      <c r="H132" s="773"/>
      <c r="I132" s="773"/>
      <c r="J132" s="773"/>
      <c r="K132" s="773"/>
      <c r="L132" s="773"/>
      <c r="M132" s="773"/>
      <c r="N132" s="773"/>
      <c r="O132" s="773"/>
      <c r="P132" s="773"/>
      <c r="Q132" s="773"/>
      <c r="R132" s="773"/>
      <c r="S132" s="773"/>
      <c r="T132" s="773"/>
      <c r="U132" s="773"/>
      <c r="V132" s="773"/>
      <c r="W132" s="773"/>
      <c r="X132" s="773"/>
      <c r="Y132" s="773"/>
      <c r="Z132" s="773"/>
      <c r="AA132" s="773"/>
      <c r="AB132" s="773"/>
      <c r="AC132" s="773"/>
      <c r="AD132" s="262"/>
      <c r="AE132" s="262"/>
      <c r="AF132" s="262"/>
      <c r="AG132" s="304"/>
      <c r="AH132" s="304"/>
      <c r="AI132" s="304"/>
      <c r="AJ132" s="304"/>
      <c r="AK132" s="304"/>
      <c r="AL132" s="304"/>
      <c r="AM132" s="304"/>
      <c r="AN132" s="172">
        <f t="shared" si="172"/>
        <v>0</v>
      </c>
      <c r="AO132" s="512">
        <f t="shared" si="173"/>
        <v>0</v>
      </c>
      <c r="AP132" s="322"/>
      <c r="AQ132" s="323"/>
      <c r="AR132" s="323"/>
      <c r="AS132" s="323"/>
      <c r="AT132" s="325"/>
      <c r="AU132" s="325"/>
      <c r="AV132" s="325"/>
      <c r="AW132" s="325"/>
      <c r="AX132" s="325"/>
      <c r="AY132" s="325"/>
      <c r="AZ132" s="321">
        <f t="shared" si="175"/>
        <v>0</v>
      </c>
      <c r="BB132" s="34"/>
      <c r="BC132" s="35"/>
      <c r="BD132" s="695" t="s">
        <v>239</v>
      </c>
      <c r="BE132" s="695"/>
      <c r="BS132"/>
      <c r="CE132" s="148"/>
      <c r="CF132" s="65"/>
      <c r="CG132" s="65"/>
    </row>
    <row r="133" spans="1:85" ht="25.5" hidden="1" customHeight="1" outlineLevel="1" thickBot="1" x14ac:dyDescent="0.3">
      <c r="A133" s="169"/>
      <c r="B133" s="167">
        <f t="shared" ref="B133:D134" si="195">B65</f>
        <v>0</v>
      </c>
      <c r="C133" s="160" t="str">
        <f t="shared" si="195"/>
        <v>GRA #5</v>
      </c>
      <c r="D133" s="19" t="str">
        <f t="shared" si="195"/>
        <v>Full year</v>
      </c>
      <c r="E133" s="264">
        <v>4.1000000000000003E-3</v>
      </c>
      <c r="F133" s="773"/>
      <c r="G133" s="773"/>
      <c r="H133" s="773"/>
      <c r="I133" s="773"/>
      <c r="J133" s="773"/>
      <c r="K133" s="773"/>
      <c r="L133" s="773"/>
      <c r="M133" s="773"/>
      <c r="N133" s="773"/>
      <c r="O133" s="773"/>
      <c r="P133" s="773"/>
      <c r="Q133" s="773"/>
      <c r="R133" s="773"/>
      <c r="S133" s="773"/>
      <c r="T133" s="773"/>
      <c r="U133" s="773"/>
      <c r="V133" s="773"/>
      <c r="W133" s="773"/>
      <c r="X133" s="773"/>
      <c r="Y133" s="773"/>
      <c r="Z133" s="773"/>
      <c r="AA133" s="773"/>
      <c r="AB133" s="773"/>
      <c r="AC133" s="773"/>
      <c r="AD133" s="170">
        <f>ROUND($E$133*AD65,0)</f>
        <v>0</v>
      </c>
      <c r="AE133" s="170">
        <f>ROUND($E$133*AE65,0)</f>
        <v>0</v>
      </c>
      <c r="AF133" s="170">
        <f>ROUND($E$133*AF65,0)</f>
        <v>0</v>
      </c>
      <c r="AG133" s="170">
        <f>ROUND($E$133*AG65,0)</f>
        <v>0</v>
      </c>
      <c r="AH133" s="170">
        <f>ROUND($E$133*AH65,0)</f>
        <v>0</v>
      </c>
      <c r="AI133" s="170">
        <f t="shared" ref="AI133:AM133" si="196">ROUND($E$133*AI65,0)</f>
        <v>0</v>
      </c>
      <c r="AJ133" s="170">
        <f t="shared" si="196"/>
        <v>0</v>
      </c>
      <c r="AK133" s="170">
        <f t="shared" si="196"/>
        <v>0</v>
      </c>
      <c r="AL133" s="170">
        <f t="shared" si="196"/>
        <v>0</v>
      </c>
      <c r="AM133" s="170">
        <f t="shared" si="196"/>
        <v>0</v>
      </c>
      <c r="AN133" s="171">
        <f t="shared" si="172"/>
        <v>0</v>
      </c>
      <c r="AO133" s="512">
        <f t="shared" si="173"/>
        <v>0</v>
      </c>
      <c r="AP133" s="537">
        <f>ROUND($E$133*AP65,0)</f>
        <v>0</v>
      </c>
      <c r="AQ133" s="295">
        <f>ROUND($E$133*AQ65,0)</f>
        <v>0</v>
      </c>
      <c r="AR133" s="295">
        <f>ROUND($E$133*AR65,0)</f>
        <v>0</v>
      </c>
      <c r="AS133" s="295">
        <f>ROUND($E$133*AS65,0)</f>
        <v>0</v>
      </c>
      <c r="AT133" s="295">
        <f>ROUND($E$133*AT65,0)</f>
        <v>0</v>
      </c>
      <c r="AU133" s="295">
        <f t="shared" ref="AU133:AY133" si="197">ROUND($E$133*AU65,0)</f>
        <v>0</v>
      </c>
      <c r="AV133" s="295">
        <f t="shared" si="197"/>
        <v>0</v>
      </c>
      <c r="AW133" s="295">
        <f t="shared" si="197"/>
        <v>0</v>
      </c>
      <c r="AX133" s="295">
        <f t="shared" si="197"/>
        <v>0</v>
      </c>
      <c r="AY133" s="295">
        <f t="shared" si="197"/>
        <v>0</v>
      </c>
      <c r="AZ133" s="296">
        <f t="shared" si="175"/>
        <v>0</v>
      </c>
      <c r="BB133" s="167">
        <f t="shared" ref="BB133:BD134" si="198">BN65</f>
        <v>0</v>
      </c>
      <c r="BC133" s="160" t="str">
        <f t="shared" si="198"/>
        <v>GRA #5</v>
      </c>
      <c r="BD133" s="19" t="str">
        <f t="shared" si="198"/>
        <v>Full year</v>
      </c>
      <c r="BE133" s="264">
        <v>4.1000000000000003E-3</v>
      </c>
      <c r="BS133"/>
      <c r="CE133" s="148"/>
      <c r="CF133" s="65"/>
      <c r="CG133" s="65"/>
    </row>
    <row r="134" spans="1:85" ht="25.5" hidden="1" customHeight="1" outlineLevel="1" thickTop="1" thickBot="1" x14ac:dyDescent="0.3">
      <c r="A134" s="169"/>
      <c r="B134" s="168">
        <f t="shared" si="195"/>
        <v>0</v>
      </c>
      <c r="C134" s="161">
        <f t="shared" si="195"/>
        <v>0</v>
      </c>
      <c r="D134" s="19" t="str">
        <f t="shared" si="195"/>
        <v>Summer</v>
      </c>
      <c r="E134" s="260">
        <v>8.0600000000000005E-2</v>
      </c>
      <c r="F134" s="773"/>
      <c r="G134" s="773"/>
      <c r="H134" s="773"/>
      <c r="I134" s="773"/>
      <c r="J134" s="773"/>
      <c r="K134" s="773"/>
      <c r="L134" s="773"/>
      <c r="M134" s="773"/>
      <c r="N134" s="773"/>
      <c r="O134" s="773"/>
      <c r="P134" s="773"/>
      <c r="Q134" s="773"/>
      <c r="R134" s="773"/>
      <c r="S134" s="773"/>
      <c r="T134" s="773"/>
      <c r="U134" s="773"/>
      <c r="V134" s="773"/>
      <c r="W134" s="773"/>
      <c r="X134" s="773"/>
      <c r="Y134" s="773"/>
      <c r="Z134" s="773"/>
      <c r="AA134" s="773"/>
      <c r="AB134" s="773"/>
      <c r="AC134" s="773"/>
      <c r="AD134" s="27">
        <f>ROUND($E$134*AD66,0)</f>
        <v>0</v>
      </c>
      <c r="AE134" s="27">
        <f>ROUND($E$134*AE66,0)</f>
        <v>0</v>
      </c>
      <c r="AF134" s="27">
        <f>ROUND($E$134*AF66,0)</f>
        <v>0</v>
      </c>
      <c r="AG134" s="27">
        <f>ROUND($E$134*AG66,0)</f>
        <v>0</v>
      </c>
      <c r="AH134" s="27">
        <f>ROUND($E$134*AH66,0)</f>
        <v>0</v>
      </c>
      <c r="AI134" s="27">
        <f t="shared" ref="AI134:AM134" si="199">ROUND($E$134*AI66,0)</f>
        <v>0</v>
      </c>
      <c r="AJ134" s="27">
        <f t="shared" si="199"/>
        <v>0</v>
      </c>
      <c r="AK134" s="27">
        <f t="shared" si="199"/>
        <v>0</v>
      </c>
      <c r="AL134" s="27">
        <f t="shared" si="199"/>
        <v>0</v>
      </c>
      <c r="AM134" s="27">
        <f t="shared" si="199"/>
        <v>0</v>
      </c>
      <c r="AN134" s="68">
        <f t="shared" si="172"/>
        <v>0</v>
      </c>
      <c r="AO134" s="512">
        <f t="shared" si="173"/>
        <v>0</v>
      </c>
      <c r="AP134" s="534">
        <f>ROUND($E$134*AP66,0)</f>
        <v>0</v>
      </c>
      <c r="AQ134" s="236">
        <f>ROUND($E$134*AQ66,0)</f>
        <v>0</v>
      </c>
      <c r="AR134" s="236">
        <f>ROUND($E$134*AR66,0)</f>
        <v>0</v>
      </c>
      <c r="AS134" s="236">
        <f>ROUND($E$134*AS66,0)</f>
        <v>0</v>
      </c>
      <c r="AT134" s="236">
        <f>ROUND($E$134*AT66,0)</f>
        <v>0</v>
      </c>
      <c r="AU134" s="236">
        <f t="shared" ref="AU134:AY134" si="200">ROUND($E$134*AU66,0)</f>
        <v>0</v>
      </c>
      <c r="AV134" s="236">
        <f t="shared" si="200"/>
        <v>0</v>
      </c>
      <c r="AW134" s="236">
        <f t="shared" si="200"/>
        <v>0</v>
      </c>
      <c r="AX134" s="236">
        <f t="shared" si="200"/>
        <v>0</v>
      </c>
      <c r="AY134" s="236">
        <f t="shared" si="200"/>
        <v>0</v>
      </c>
      <c r="AZ134" s="237">
        <f t="shared" si="175"/>
        <v>0</v>
      </c>
      <c r="BB134" s="168">
        <f t="shared" si="198"/>
        <v>0</v>
      </c>
      <c r="BC134" s="161">
        <f t="shared" si="198"/>
        <v>0</v>
      </c>
      <c r="BD134" s="19" t="str">
        <f t="shared" si="198"/>
        <v>Summer</v>
      </c>
      <c r="BE134" s="260">
        <v>8.0600000000000005E-2</v>
      </c>
      <c r="BS134"/>
      <c r="CE134" s="148"/>
      <c r="CF134" s="65"/>
      <c r="CG134" s="65"/>
    </row>
    <row r="135" spans="1:85" ht="25.5" hidden="1" customHeight="1" outlineLevel="1" thickTop="1" x14ac:dyDescent="0.25">
      <c r="B135" s="37"/>
      <c r="C135" s="164"/>
      <c r="D135" s="741" t="s">
        <v>238</v>
      </c>
      <c r="E135" s="741"/>
      <c r="F135" s="773"/>
      <c r="G135" s="773"/>
      <c r="H135" s="773"/>
      <c r="I135" s="773"/>
      <c r="J135" s="773"/>
      <c r="K135" s="773"/>
      <c r="L135" s="773"/>
      <c r="M135" s="773"/>
      <c r="N135" s="773"/>
      <c r="O135" s="773"/>
      <c r="P135" s="773"/>
      <c r="Q135" s="773"/>
      <c r="R135" s="773"/>
      <c r="S135" s="773"/>
      <c r="T135" s="773"/>
      <c r="U135" s="773"/>
      <c r="V135" s="773"/>
      <c r="W135" s="773"/>
      <c r="X135" s="773"/>
      <c r="Y135" s="773"/>
      <c r="Z135" s="773"/>
      <c r="AA135" s="773"/>
      <c r="AB135" s="773"/>
      <c r="AC135" s="773"/>
      <c r="AD135" s="36" cm="1">
        <f t="array" ref="AD135">_xlfn.IFNA(_xlfn.IFS(AND(G65=20,S65=8.77,$D$133="Full year"),Rates!$C$21*$B$133,
AND(G65=20,S65=4.39,$D$133="Fall"),Rates!$C$22*$B$133,
AND(G65=20,S65=4.39,$D$133="Spring"),Rates!$C$23*$B$133)*1.05^G$2,0)</f>
        <v>0</v>
      </c>
      <c r="AE135" s="36" cm="1">
        <f t="array" ref="AE135">_xlfn.IFNA(_xlfn.IFS(AND(H65=20,T65=8.77,$D$133="Full year"),Rates!$C$21*$B$133,
AND(H65=20,T65=4.39,$D$133="Fall"),Rates!$C$22*$B$133,
AND(H65=20,T65=4.39,$D$133="Spring"),Rates!$C$23*$B$133)*1.05^H$2,0)</f>
        <v>0</v>
      </c>
      <c r="AF135" s="36" cm="1">
        <f t="array" ref="AF135">_xlfn.IFNA(_xlfn.IFS(AND(I65=20,U65=8.77,$D$133="Full year"),Rates!$C$21*$B$133,
AND(I65=20,U65=4.39,$D$133="Fall"),Rates!$C$22*$B$133,
AND(I65=20,U65=4.39,$D$133="Spring"),Rates!$C$23*$B$133)*1.05^I$2,0)</f>
        <v>0</v>
      </c>
      <c r="AG135" s="36" cm="1">
        <f t="array" ref="AG135">_xlfn.IFNA(_xlfn.IFS(AND(J65=20,V65=8.77,$D$133="Full year"),Rates!$C$21*$B$133,
AND(J65=20,V65=4.39,$D$133="Fall"),Rates!$C$22*$B$133,
AND(J65=20,V65=4.39,$D$133="Spring"),Rates!$C$23*$B$133)*1.05^J$2,0)</f>
        <v>0</v>
      </c>
      <c r="AH135" s="36" cm="1">
        <f t="array" ref="AH135">_xlfn.IFNA(_xlfn.IFS(AND(K65=20,W65=8.77,$D$133="Full year"),Rates!$C$21*$B$133,
AND(K65=20,W65=4.39,$D$133="Fall"),Rates!$C$22*$B$133,
AND(K65=20,W65=4.39,$D$133="Spring"),Rates!$C$23*$B$133)*1.05^K$2,0)</f>
        <v>0</v>
      </c>
      <c r="AI135" s="36" cm="1">
        <f t="array" ref="AI135">_xlfn.IFNA(_xlfn.IFS(AND(L65=20,X65=8.77,$D$133="Full year"),Rates!$C$21*$B$133,
AND(L65=20,X65=4.39,$D$133="Fall"),Rates!$C$22*$B$133,
AND(L65=20,X65=4.39,$D$133="Spring"),Rates!$C$23*$B$133)*1.05^L$2,0)</f>
        <v>0</v>
      </c>
      <c r="AJ135" s="36" cm="1">
        <f t="array" ref="AJ135">_xlfn.IFNA(_xlfn.IFS(AND(M65=20,Y65=8.77,$D$133="Full year"),Rates!$C$21*$B$133,
AND(M65=20,Y65=4.39,$D$133="Fall"),Rates!$C$22*$B$133,
AND(M65=20,Y65=4.39,$D$133="Spring"),Rates!$C$23*$B$133)*1.05^M$2,0)</f>
        <v>0</v>
      </c>
      <c r="AK135" s="36" cm="1">
        <f t="array" ref="AK135">_xlfn.IFNA(_xlfn.IFS(AND(N65=20,Z65=8.77,$D$133="Full year"),Rates!$C$21*$B$133,
AND(N65=20,Z65=4.39,$D$133="Fall"),Rates!$C$22*$B$133,
AND(N65=20,Z65=4.39,$D$133="Spring"),Rates!$C$23*$B$133)*1.05^N$2,0)</f>
        <v>0</v>
      </c>
      <c r="AL135" s="36" cm="1">
        <f t="array" ref="AL135">_xlfn.IFNA(_xlfn.IFS(AND(O65=20,AA65=8.77,$D$133="Full year"),Rates!$C$21*$B$133,
AND(O65=20,AA65=4.39,$D$133="Fall"),Rates!$C$22*$B$133,
AND(O65=20,AA65=4.39,$D$133="Spring"),Rates!$C$23*$B$133)*1.05^O$2,0)</f>
        <v>0</v>
      </c>
      <c r="AM135" s="36" cm="1">
        <f t="array" ref="AM135">_xlfn.IFNA(_xlfn.IFS(AND(P65=20,AB65=8.77,$D$133="Full year"),Rates!$C$21*$B$133,
AND(P65=20,AB65=4.39,$D$133="Fall"),Rates!$C$22*$B$133,
AND(P65=20,AB65=4.39,$D$133="Spring"),Rates!$C$23*$B$133)*1.05^P$2,0)</f>
        <v>0</v>
      </c>
      <c r="AN135" s="70">
        <f t="shared" si="172"/>
        <v>0</v>
      </c>
      <c r="AO135" s="512">
        <f t="shared" si="173"/>
        <v>0</v>
      </c>
      <c r="AP135" s="535" cm="1">
        <f t="array" ref="AP135">_xlfn.IFNA(_xlfn.IFS(AND(BB65=20,BT65=8.77,$BD$133="Full year"),Rates!$C$21*$BB$133,
AND(BB65=20,BT65=4.39,$BD$133="Fall"),Rates!$C$22*$BB$133,
AND(BB65=20,BT65=4.39,$BD$133="Spring"),Rates!$C$23*$BB$133)*1.05^G$2,0)</f>
        <v>0</v>
      </c>
      <c r="AQ135" s="238" cm="1">
        <f t="array" ref="AQ135">_xlfn.IFNA(_xlfn.IFS(AND(BC65=20,BU65=8.77,$BD$133="Full year"),Rates!$C$21*$BB$133,
AND(BC65=20,BU65=4.39,$BD$133="Fall"),Rates!$C$22*$BB$133,
AND(BC65=20,BU65=4.39,$BD$133="Spring"),Rates!$C$23*$BB$133)*1.05^H$2,0)</f>
        <v>0</v>
      </c>
      <c r="AR135" s="238" cm="1">
        <f t="array" ref="AR135">_xlfn.IFNA(_xlfn.IFS(AND(BD65=20,BV65=8.77,$BD$133="Full year"),Rates!$C$21*$BB$133,
AND(BD65=20,BV65=4.39,$BD$133="Fall"),Rates!$C$22*$BB$133,
AND(BD65=20,BV65=4.39,$BD$133="Spring"),Rates!$C$23*$BB$133)*1.05^I$2,0)</f>
        <v>0</v>
      </c>
      <c r="AS135" s="238" cm="1">
        <f t="array" ref="AS135">_xlfn.IFNA(_xlfn.IFS(AND(BE65=20,BW65=8.77,$BD$133="Full year"),Rates!$C$21*$BB$133,
AND(BE65=20,BW65=4.39,$BD$133="Fall"),Rates!$C$22*$BB$133,
AND(BE65=20,BW65=4.39,$BD$133="Spring"),Rates!$C$23*$BB$133)*1.05^J$2,0)</f>
        <v>0</v>
      </c>
      <c r="AT135" s="238" cm="1">
        <f t="array" ref="AT135">_xlfn.IFNA(_xlfn.IFS(AND(BF65=20,BX65=8.77,$BD$133="Full year"),Rates!$C$21*$BB$133,
AND(BF65=20,BX65=4.39,$BD$133="Fall"),Rates!$C$22*$BB$133,
AND(BF65=20,BX65=4.39,$BD$133="Spring"),Rates!$C$23*$BB$133)*1.05^K$2,0)</f>
        <v>0</v>
      </c>
      <c r="AU135" s="238" cm="1">
        <f t="array" ref="AU135">_xlfn.IFNA(_xlfn.IFS(AND(BG65=20,BY65=8.77,$BD$133="Full year"),Rates!$C$21*$BB$133,
AND(BG65=20,BY65=4.39,$BD$133="Fall"),Rates!$C$22*$BB$133,
AND(BG65=20,BY65=4.39,$BD$133="Spring"),Rates!$C$23*$BB$133)*1.05^L$2,0)</f>
        <v>0</v>
      </c>
      <c r="AV135" s="238" cm="1">
        <f t="array" ref="AV135">_xlfn.IFNA(_xlfn.IFS(AND(BH65=20,BZ65=8.77,$BD$133="Full year"),Rates!$C$21*$BB$133,
AND(BH65=20,BZ65=4.39,$BD$133="Fall"),Rates!$C$22*$BB$133,
AND(BH65=20,BZ65=4.39,$BD$133="Spring"),Rates!$C$23*$BB$133)*1.05^M$2,0)</f>
        <v>0</v>
      </c>
      <c r="AW135" s="238" cm="1">
        <f t="array" ref="AW135">_xlfn.IFNA(_xlfn.IFS(AND(BI65=20,CA65=8.77,$BD$133="Full year"),Rates!$C$21*$BB$133,
AND(BI65=20,CA65=4.39,$BD$133="Fall"),Rates!$C$22*$BB$133,
AND(BI65=20,CA65=4.39,$BD$133="Spring"),Rates!$C$23*$BB$133)*1.05^N$2,0)</f>
        <v>0</v>
      </c>
      <c r="AX135" s="238" cm="1">
        <f t="array" ref="AX135">_xlfn.IFNA(_xlfn.IFS(AND(BJ65=20,CB65=8.77,$BD$133="Full year"),Rates!$C$21*$BB$133,
AND(BJ65=20,CB65=4.39,$BD$133="Fall"),Rates!$C$22*$BB$133,
AND(BJ65=20,CB65=4.39,$BD$133="Spring"),Rates!$C$23*$BB$133)*1.05^O$2,0)</f>
        <v>0</v>
      </c>
      <c r="AY135" s="238" cm="1">
        <f t="array" ref="AY135">_xlfn.IFNA(_xlfn.IFS(AND(BK65=20,CC65=8.77,$BD$133="Full year"),Rates!$C$21*$BB$133,
AND(BK65=20,CC65=4.39,$BD$133="Fall"),Rates!$C$22*$BB$133,
AND(BK65=20,CC65=4.39,$BD$133="Spring"),Rates!$C$23*$BB$133)*1.05^P$2,0)</f>
        <v>0</v>
      </c>
      <c r="AZ135" s="240">
        <f t="shared" si="175"/>
        <v>0</v>
      </c>
      <c r="BB135" s="37"/>
      <c r="BC135" s="164"/>
      <c r="BD135" s="741" t="s">
        <v>238</v>
      </c>
      <c r="BE135" s="741"/>
      <c r="BS135"/>
      <c r="CE135" s="148"/>
      <c r="CF135" s="65"/>
      <c r="CG135" s="65"/>
    </row>
    <row r="136" spans="1:85" ht="25.5" hidden="1" customHeight="1" outlineLevel="1" thickBot="1" x14ac:dyDescent="0.3">
      <c r="B136" s="34"/>
      <c r="C136" s="35"/>
      <c r="D136" s="695" t="s">
        <v>239</v>
      </c>
      <c r="E136" s="695"/>
      <c r="F136" s="773"/>
      <c r="G136" s="773"/>
      <c r="H136" s="773"/>
      <c r="I136" s="773"/>
      <c r="J136" s="773"/>
      <c r="K136" s="773"/>
      <c r="L136" s="773"/>
      <c r="M136" s="773"/>
      <c r="N136" s="773"/>
      <c r="O136" s="773"/>
      <c r="P136" s="773"/>
      <c r="Q136" s="773"/>
      <c r="R136" s="773"/>
      <c r="S136" s="773"/>
      <c r="T136" s="773"/>
      <c r="U136" s="773"/>
      <c r="V136" s="773"/>
      <c r="W136" s="773"/>
      <c r="X136" s="773"/>
      <c r="Y136" s="773"/>
      <c r="Z136" s="773"/>
      <c r="AA136" s="773"/>
      <c r="AB136" s="773"/>
      <c r="AC136" s="773"/>
      <c r="AD136" s="262"/>
      <c r="AE136" s="262"/>
      <c r="AF136" s="262"/>
      <c r="AG136" s="304"/>
      <c r="AH136" s="304"/>
      <c r="AI136" s="304"/>
      <c r="AJ136" s="304"/>
      <c r="AK136" s="304"/>
      <c r="AL136" s="304"/>
      <c r="AM136" s="304"/>
      <c r="AN136" s="172">
        <f t="shared" si="172"/>
        <v>0</v>
      </c>
      <c r="AO136" s="512">
        <f t="shared" si="173"/>
        <v>0</v>
      </c>
      <c r="AP136" s="536"/>
      <c r="AQ136" s="262"/>
      <c r="AR136" s="262"/>
      <c r="AS136" s="262"/>
      <c r="AT136" s="262"/>
      <c r="AU136" s="262"/>
      <c r="AV136" s="262"/>
      <c r="AW136" s="262"/>
      <c r="AX136" s="262"/>
      <c r="AY136" s="262"/>
      <c r="AZ136" s="298">
        <f t="shared" si="175"/>
        <v>0</v>
      </c>
      <c r="BB136" s="34"/>
      <c r="BC136" s="35"/>
      <c r="BD136" s="695" t="s">
        <v>239</v>
      </c>
      <c r="BE136" s="695"/>
      <c r="BS136"/>
      <c r="CE136" s="148"/>
      <c r="CF136" s="65"/>
      <c r="CG136" s="65"/>
    </row>
    <row r="137" spans="1:85" ht="39.75" customHeight="1" collapsed="1" x14ac:dyDescent="0.25">
      <c r="B137" s="737" t="s">
        <v>240</v>
      </c>
      <c r="C137" s="737"/>
      <c r="D137" s="737"/>
      <c r="E137" s="737"/>
      <c r="F137" s="737"/>
      <c r="G137" s="737"/>
      <c r="H137" s="737"/>
      <c r="I137" s="737"/>
      <c r="J137" s="737"/>
      <c r="K137" s="737"/>
      <c r="L137" s="737"/>
      <c r="M137" s="737"/>
      <c r="N137" s="737"/>
      <c r="O137" s="737"/>
      <c r="P137" s="737"/>
      <c r="Q137" s="737"/>
      <c r="R137" s="737"/>
      <c r="S137" s="737"/>
      <c r="T137" s="737"/>
      <c r="U137" s="737"/>
      <c r="V137" s="331"/>
      <c r="W137" s="331"/>
      <c r="X137" s="331"/>
      <c r="Y137" s="331"/>
      <c r="Z137" s="331"/>
      <c r="AA137" s="331"/>
      <c r="AB137" s="331"/>
      <c r="AC137" s="331"/>
      <c r="AD137" s="344">
        <f t="shared" ref="AD137:AN137" si="201">SUM(AD117:AD120,AD121:AD124,AD125:AD128,AD129:AD132,AD133:AD136)</f>
        <v>0</v>
      </c>
      <c r="AE137" s="344">
        <f t="shared" si="201"/>
        <v>0</v>
      </c>
      <c r="AF137" s="344">
        <f t="shared" si="201"/>
        <v>0</v>
      </c>
      <c r="AG137" s="344">
        <f t="shared" si="201"/>
        <v>0</v>
      </c>
      <c r="AH137" s="344">
        <f t="shared" si="201"/>
        <v>0</v>
      </c>
      <c r="AI137" s="344">
        <f t="shared" si="201"/>
        <v>0</v>
      </c>
      <c r="AJ137" s="344">
        <f t="shared" si="201"/>
        <v>0</v>
      </c>
      <c r="AK137" s="344">
        <f t="shared" si="201"/>
        <v>0</v>
      </c>
      <c r="AL137" s="344">
        <f t="shared" si="201"/>
        <v>0</v>
      </c>
      <c r="AM137" s="344">
        <f t="shared" si="201"/>
        <v>0</v>
      </c>
      <c r="AN137" s="352">
        <f t="shared" si="201"/>
        <v>0</v>
      </c>
      <c r="AO137" s="512">
        <f t="shared" si="173"/>
        <v>0</v>
      </c>
      <c r="AP137" s="584">
        <f t="shared" ref="AP137:AX137" si="202">SUM(AP117:AP120,AP121:AP124,AP125:AP128,AP129:AP132,AP133:AP136)</f>
        <v>0</v>
      </c>
      <c r="AQ137" s="584">
        <f t="shared" si="202"/>
        <v>0</v>
      </c>
      <c r="AR137" s="584">
        <f t="shared" si="202"/>
        <v>0</v>
      </c>
      <c r="AS137" s="584">
        <f t="shared" si="202"/>
        <v>0</v>
      </c>
      <c r="AT137" s="584">
        <f>SUM(AT117:AT120,AT121:AT124,AT125:AT128,AT129:AT132,AT133:AT136)</f>
        <v>0</v>
      </c>
      <c r="AU137" s="584">
        <f t="shared" si="202"/>
        <v>0</v>
      </c>
      <c r="AV137" s="584">
        <f t="shared" si="202"/>
        <v>0</v>
      </c>
      <c r="AW137" s="584">
        <f t="shared" si="202"/>
        <v>0</v>
      </c>
      <c r="AX137" s="584">
        <f t="shared" si="202"/>
        <v>0</v>
      </c>
      <c r="AY137" s="584">
        <f>SUM(AY117:AY120,AY121:AY124,AY125:AY128,AY129:AY132,AY133:AY136)</f>
        <v>0</v>
      </c>
      <c r="AZ137" s="585">
        <f>SUM(AZ117:AZ120,AZ121:AZ124,AZ125:AZ128,AZ129:AZ132,AZ133:AZ136)</f>
        <v>0</v>
      </c>
      <c r="BA137" s="380"/>
      <c r="BB137" s="730" t="s">
        <v>240</v>
      </c>
      <c r="BC137" s="730"/>
      <c r="BD137" s="730"/>
      <c r="BE137" s="730"/>
      <c r="BF137" s="730"/>
      <c r="BG137" s="730"/>
      <c r="BH137" s="730"/>
      <c r="BI137" s="730"/>
      <c r="BJ137" s="730"/>
      <c r="BK137" s="730"/>
      <c r="BL137" s="730"/>
      <c r="BM137" s="730"/>
      <c r="BN137" s="730"/>
      <c r="BO137" s="730"/>
      <c r="BP137" s="730"/>
      <c r="BQ137" s="730"/>
      <c r="BR137" s="730"/>
      <c r="BS137" s="730"/>
      <c r="BT137" s="730"/>
      <c r="BU137" s="730"/>
      <c r="BV137" s="730"/>
      <c r="BW137" s="730"/>
      <c r="BX137" s="730"/>
      <c r="BY137" s="730"/>
      <c r="BZ137" s="730"/>
      <c r="CA137" s="730"/>
      <c r="CB137" s="730"/>
      <c r="CC137" s="730"/>
      <c r="CD137" s="731"/>
      <c r="CE137" s="148"/>
      <c r="CF137" s="65"/>
      <c r="CG137" s="65"/>
    </row>
    <row r="138" spans="1:85" ht="42.75" customHeight="1" thickBot="1" x14ac:dyDescent="0.35">
      <c r="B138" s="740" t="s">
        <v>241</v>
      </c>
      <c r="C138" s="740"/>
      <c r="D138" s="740"/>
      <c r="E138" s="740"/>
      <c r="F138" s="740"/>
      <c r="G138" s="740"/>
      <c r="H138" s="740"/>
      <c r="I138" s="740"/>
      <c r="J138" s="740"/>
      <c r="K138" s="740"/>
      <c r="L138" s="740"/>
      <c r="M138" s="740"/>
      <c r="N138" s="740"/>
      <c r="O138" s="740"/>
      <c r="P138" s="740"/>
      <c r="Q138" s="740"/>
      <c r="R138" s="740"/>
      <c r="S138" s="740"/>
      <c r="T138" s="740"/>
      <c r="U138" s="740"/>
      <c r="V138" s="740"/>
      <c r="W138" s="740"/>
      <c r="X138" s="740"/>
      <c r="Y138" s="740"/>
      <c r="Z138" s="740"/>
      <c r="AA138" s="740"/>
      <c r="AB138" s="740"/>
      <c r="AC138" s="740"/>
      <c r="AD138" s="740"/>
      <c r="AE138" s="740"/>
      <c r="AF138" s="740"/>
      <c r="AG138" s="740"/>
      <c r="AH138" s="740"/>
      <c r="AI138" s="740"/>
      <c r="AJ138" s="740"/>
      <c r="AK138" s="740"/>
      <c r="AL138" s="740"/>
      <c r="AM138" s="740"/>
      <c r="AN138" s="740"/>
      <c r="AO138" s="512"/>
      <c r="AP138" s="690" t="s">
        <v>242</v>
      </c>
      <c r="AQ138" s="690"/>
      <c r="AR138" s="690"/>
      <c r="AS138" s="690"/>
      <c r="AT138" s="690"/>
      <c r="AU138" s="690"/>
      <c r="AV138" s="690"/>
      <c r="AW138" s="690"/>
      <c r="AX138" s="690"/>
      <c r="AY138" s="690"/>
      <c r="AZ138" s="690"/>
      <c r="BA138" s="690"/>
      <c r="BB138" s="690"/>
      <c r="BC138" s="690"/>
      <c r="BD138" s="690"/>
      <c r="BE138" s="690"/>
      <c r="BF138" s="690"/>
      <c r="BG138" s="690"/>
      <c r="BH138" s="690"/>
      <c r="BI138" s="690"/>
      <c r="BJ138" s="690"/>
      <c r="BK138" s="690"/>
      <c r="BL138" s="690"/>
      <c r="BM138" s="690"/>
      <c r="BN138" s="690"/>
      <c r="BO138" s="690"/>
      <c r="BP138" s="690"/>
      <c r="BQ138" s="690"/>
      <c r="BR138" s="690"/>
      <c r="BS138" s="690"/>
      <c r="BT138" s="690"/>
      <c r="BU138" s="690"/>
      <c r="BV138" s="690"/>
      <c r="BW138" s="690"/>
      <c r="BX138" s="690"/>
      <c r="BY138" s="690"/>
      <c r="BZ138" s="690"/>
      <c r="CA138" s="690"/>
      <c r="CB138" s="690"/>
      <c r="CC138" s="690"/>
      <c r="CD138" s="690"/>
    </row>
    <row r="139" spans="1:85" ht="57.75" customHeight="1" thickTop="1" x14ac:dyDescent="0.25">
      <c r="B139" s="52" t="s">
        <v>158</v>
      </c>
      <c r="C139" s="52" t="s">
        <v>159</v>
      </c>
      <c r="D139" s="53" t="s">
        <v>75</v>
      </c>
      <c r="E139" s="53" t="s">
        <v>243</v>
      </c>
      <c r="F139" s="53" t="s">
        <v>244</v>
      </c>
      <c r="G139" s="747"/>
      <c r="H139" s="747"/>
      <c r="I139" s="747"/>
      <c r="J139" s="747"/>
      <c r="K139" s="747"/>
      <c r="L139" s="747"/>
      <c r="M139" s="747"/>
      <c r="N139" s="747"/>
      <c r="O139" s="747"/>
      <c r="P139" s="747"/>
      <c r="Q139" s="747"/>
      <c r="R139" s="747"/>
      <c r="S139" s="747"/>
      <c r="T139" s="747"/>
      <c r="U139" s="747"/>
      <c r="V139" s="747"/>
      <c r="W139" s="747"/>
      <c r="X139" s="747"/>
      <c r="Y139" s="747"/>
      <c r="Z139" s="747"/>
      <c r="AA139" s="747"/>
      <c r="AB139" s="747"/>
      <c r="AC139" s="747"/>
      <c r="AD139" s="54" t="s">
        <v>137</v>
      </c>
      <c r="AE139" s="54" t="s">
        <v>229</v>
      </c>
      <c r="AF139" s="54" t="s">
        <v>230</v>
      </c>
      <c r="AG139" s="54" t="s">
        <v>231</v>
      </c>
      <c r="AH139" s="54" t="s">
        <v>232</v>
      </c>
      <c r="AI139" s="54" t="s">
        <v>233</v>
      </c>
      <c r="AJ139" s="54" t="s">
        <v>234</v>
      </c>
      <c r="AK139" s="54" t="s">
        <v>235</v>
      </c>
      <c r="AL139" s="54" t="s">
        <v>236</v>
      </c>
      <c r="AM139" s="54" t="s">
        <v>237</v>
      </c>
      <c r="AN139" s="351" t="s">
        <v>116</v>
      </c>
      <c r="AO139" s="512"/>
      <c r="AP139" s="54" t="s">
        <v>137</v>
      </c>
      <c r="AQ139" s="54" t="s">
        <v>229</v>
      </c>
      <c r="AR139" s="54" t="s">
        <v>230</v>
      </c>
      <c r="AS139" s="54" t="s">
        <v>231</v>
      </c>
      <c r="AT139" s="362" t="s">
        <v>232</v>
      </c>
      <c r="AU139" s="362" t="s">
        <v>233</v>
      </c>
      <c r="AV139" s="362" t="s">
        <v>234</v>
      </c>
      <c r="AW139" s="362" t="s">
        <v>235</v>
      </c>
      <c r="AX139" s="362" t="s">
        <v>236</v>
      </c>
      <c r="AY139" s="362" t="s">
        <v>237</v>
      </c>
      <c r="AZ139" s="363" t="s">
        <v>116</v>
      </c>
      <c r="BA139" s="364"/>
      <c r="BB139" s="52" t="s">
        <v>158</v>
      </c>
      <c r="BC139" s="52" t="s">
        <v>159</v>
      </c>
      <c r="BD139" s="52" t="s">
        <v>75</v>
      </c>
      <c r="BE139" s="52" t="s">
        <v>243</v>
      </c>
      <c r="BF139" s="53" t="s">
        <v>244</v>
      </c>
      <c r="CD139" s="197"/>
    </row>
    <row r="140" spans="1:85" ht="30" customHeight="1" thickBot="1" x14ac:dyDescent="0.3">
      <c r="B140" s="49">
        <f>B57</f>
        <v>0</v>
      </c>
      <c r="C140" s="19" t="str">
        <f t="shared" ref="B140:D149" si="203">C57</f>
        <v>GRA # 1</v>
      </c>
      <c r="D140" s="19" t="str">
        <f t="shared" si="203"/>
        <v>Full year</v>
      </c>
      <c r="E140" s="40" t="s">
        <v>245</v>
      </c>
      <c r="F140" s="41">
        <f>Rates!C15</f>
        <v>12320</v>
      </c>
      <c r="G140" s="748"/>
      <c r="H140" s="748"/>
      <c r="I140" s="748"/>
      <c r="J140" s="748"/>
      <c r="K140" s="748"/>
      <c r="L140" s="748"/>
      <c r="M140" s="748"/>
      <c r="N140" s="748"/>
      <c r="O140" s="748"/>
      <c r="P140" s="748"/>
      <c r="Q140" s="748"/>
      <c r="R140" s="748"/>
      <c r="S140" s="748"/>
      <c r="T140" s="748"/>
      <c r="U140" s="748"/>
      <c r="V140" s="748"/>
      <c r="W140" s="748"/>
      <c r="X140" s="748"/>
      <c r="Y140" s="748"/>
      <c r="Z140" s="748"/>
      <c r="AA140" s="748"/>
      <c r="AB140" s="748"/>
      <c r="AC140" s="748"/>
      <c r="AD140" s="663" cm="1">
        <f t="array" ref="AD140">_xlfn.IFNA(_xlfn.IFS(AND(G57=20, S57=8.77,$D140="Full year"),$B140*$F140,
AND(G57&gt;=10, G57&lt;=19, S57&gt;=4.39,S57&lt;=8.33,$D140="Full year"),$B140*$F141,
AND(G57=20,S57=4.39,$D140="Fall"),$B140*$F141,
AND(G57&gt;=10, G57&lt;=19, S57&gt;=2.19,S57&lt;=4.17,$D140="Fall"),$B140*($F141/2),
AND(G57=20, S57=4.39,$D140="Spring"),$B140*$F141,
AND(G57&gt;=10, G57&lt;=19, S57&gt;=2.19,S57&lt;=4.17,$D140="Spring"),$B140*($F141/2))*1.05^G$2,0)</f>
        <v>0</v>
      </c>
      <c r="AE140" s="663" cm="1">
        <f t="array" ref="AE140">_xlfn.IFNA(_xlfn.IFS(AND(H57=20, T57=8.77,$D140="Full year"),$B140*$F140,
AND(H57&gt;=10, H57&lt;=19, T57&gt;=4.39,T57&lt;=8.33,$D140="Full year"),$B140*$F141,
AND(H57=20,T57=4.39,$D140="Fall"),$B140*$F141,
AND(H57&gt;=10, H57&lt;=19, T57&gt;=2.19,T57&lt;=4.17,$D140="Fall"),$B140*($F141/2),
AND(H57=20, T57=4.39,$D140="Spring"),$B140*$F141,
AND(H57&gt;=10, H57&lt;=19, T57&gt;=2.19,T57&lt;=4.17,$D140="Spring"),$B140*($F141/2))*1.05^H$2,0)</f>
        <v>0</v>
      </c>
      <c r="AF140" s="663" cm="1">
        <f t="array" ref="AF140">_xlfn.IFNA(_xlfn.IFS(AND(I57=20, U57=8.77,$D140="Full year"),$B140*$F140,
AND(I57&gt;=10, I57&lt;=19, U57&gt;=4.39,U57&lt;=8.33,$D140="Full year"),$B140*$F141,
AND(I57=20,U57=4.39,$D140="Fall"),$B140*$F141,
AND(I57&gt;=10, I57&lt;=19, U57&gt;=2.19,U57&lt;=4.17,$D140="Fall"),$B140*($F141/2),
AND(I57=20, U57=4.39,$D140="Spring"),$B140*$F141,
AND(I57&gt;=10, I57&lt;=19, U57&gt;=2.19,U57&lt;=4.17,$D140="Spring"),$B140*($F141/2))*1.05^I$2,0)</f>
        <v>0</v>
      </c>
      <c r="AG140" s="663" cm="1">
        <f t="array" ref="AG140">_xlfn.IFNA(_xlfn.IFS(AND(J57=20, V57=8.77,$D140="Full year"),$B140*$F140,
AND(J57&gt;=10, J57&lt;=19, V57&gt;=4.39,V57&lt;=8.33,$D140="Full year"),$B140*$F141,
AND(J57=20,V57=4.39,$D140="Fall"),$B140*$F141,
AND(J57&gt;=10, J57&lt;=19, V57&gt;=2.19,V57&lt;=4.17,$D140="Fall"),$B140*($F141/2),
AND(J57=20, V57=4.39,$D140="Spring"),$B140*$F141,
AND(J57&gt;=10, J57&lt;=19, V57&gt;=2.19,V57&lt;=4.17,$D140="Spring"),$B140*($F141/2))*1.05^J$2,0)</f>
        <v>0</v>
      </c>
      <c r="AH140" s="663" cm="1">
        <f t="array" ref="AH140">_xlfn.IFNA(_xlfn.IFS(AND(K57=20, W57=8.77,$D140="Full year"),$B140*$F140,
AND(K57&gt;=10, K57&lt;=19, W57&gt;=4.39,W57&lt;=8.33,$D140="Full year"),$B140*$F141,
AND(K57=20,W57=4.39,$D140="Fall"),$B140*$F141,
AND(K57&gt;=10, K57&lt;=19, W57&gt;=2.19,W57&lt;=4.17,$D140="Fall"),$B140*($F141/2),
AND(K57=20, W57=4.39,$D140="Spring"),$B140*$F141,
AND(K57&gt;=10, K57&lt;=19, W57&gt;=2.19,W57&lt;=4.17,$D140="Spring"),$B140*($F141/2))*1.05^K$2,0)</f>
        <v>0</v>
      </c>
      <c r="AI140" s="663" cm="1">
        <f t="array" ref="AI140">_xlfn.IFNA(_xlfn.IFS(AND(L57=20, X57=8.77,$D140="Full year"),$B140*$F140,
AND(L57&gt;=10, L57&lt;=19, X57&gt;=4.39,X57&lt;=8.33,$D140="Full year"),$B140*$F141,
AND(L57=20,X57=4.39,$D140="Fall"),$B140*$F141,
AND(L57&gt;=10, L57&lt;=19, X57&gt;=2.19,X57&lt;=4.17,$D140="Fall"),$B140*($F141/2),
AND(L57=20, X57=4.39,$D140="Spring"),$B140*$F141,
AND(L57&gt;=10, L57&lt;=19, X57&gt;=2.19,X57&lt;=4.17,$D140="Spring"),$B140*($F141/2))*1.05^L$2,0)</f>
        <v>0</v>
      </c>
      <c r="AJ140" s="663" cm="1">
        <f t="array" ref="AJ140">_xlfn.IFNA(_xlfn.IFS(AND(M57=20, Y57=8.77,$D140="Full year"),$B140*$F140,
AND(M57&gt;=10, M57&lt;=19, Y57&gt;=4.39,Y57&lt;=8.33,$D140="Full year"),$B140*$F141,
AND(M57=20,Y57=4.39,$D140="Fall"),$B140*$F141,
AND(M57&gt;=10, M57&lt;=19, Y57&gt;=2.19,Y57&lt;=4.17,$D140="Fall"),$B140*($F141/2),
AND(M57=20, Y57=4.39,$D140="Spring"),$B140*$F141,
AND(M57&gt;=10, M57&lt;=19, Y57&gt;=2.19,Y57&lt;=4.17,$D140="Spring"),$B140*($F141/2))*1.05^M$2,0)</f>
        <v>0</v>
      </c>
      <c r="AK140" s="663" cm="1">
        <f t="array" ref="AK140">_xlfn.IFNA(_xlfn.IFS(AND(N57=20, Z57=8.77,$D140="Full year"),$B140*$F140,
AND(N57&gt;=10, N57&lt;=19, Z57&gt;=4.39,Z57&lt;=8.33,$D140="Full year"),$B140*$F141,
AND(N57=20,Z57=4.39,$D140="Fall"),$B140*$F141,
AND(N57&gt;=10, N57&lt;=19, Z57&gt;=2.19,Z57&lt;=4.17,$D140="Fall"),$B140*($F141/2),
AND(N57=20, Z57=4.39,$D140="Spring"),$B140*$F141,
AND(N57&gt;=10, N57&lt;=19, Z57&gt;=2.19,Z57&lt;=4.17,$D140="Spring"),$B140*($F141/2))*1.05^N$2,0)</f>
        <v>0</v>
      </c>
      <c r="AL140" s="663" cm="1">
        <f t="array" ref="AL140">_xlfn.IFNA(_xlfn.IFS(AND(O57=20, AA57=8.77,$D140="Full year"),$B140*$F140,
AND(O57&gt;=10, O57&lt;=19, AA57&gt;=4.39,AA57&lt;=8.33,$D140="Full year"),$B140*$F141,
AND(O57=20,AA57=4.39,$D140="Fall"),$B140*$F141,
AND(O57&gt;=10, O57&lt;=19, AA57&gt;=2.19,AA57&lt;=4.17,$D140="Fall"),$B140*($F141/2),
AND(O57=20, AA57=4.39,$D140="Spring"),$B140*$F141,
AND(O57&gt;=10, O57&lt;=19, AA57&gt;=2.19,AA57&lt;=4.17,$D140="Spring"),$B140*($F141/2))*1.05^O$2,0)</f>
        <v>0</v>
      </c>
      <c r="AM140" s="663" cm="1">
        <f t="array" ref="AM140">_xlfn.IFNA(_xlfn.IFS(AND(P57=20, AB57=8.77,$D140="Full year"),$B140*$F140,
AND(P57&gt;=10, P57&lt;=19, AB57&gt;=4.39,AB57&lt;=8.33,$D140="Full year"),$B140*$F141,
AND(P57=20,AB57=4.39,$D140="Fall"),$B140*$F141,
AND(P57&gt;=10, P57&lt;=19, AB57&gt;=2.19,AB57&lt;=4.17,$D140="Fall"),$B140*($F141/2),
AND(P57=20, AB57=4.39,$D140="Spring"),$B140*$F141,
AND(P57&gt;=10, P57&lt;=19, AB57&gt;=2.19,AB57&lt;=4.17,$D140="Spring"),$B140*($F141/2))*1.05^P$2,0)</f>
        <v>0</v>
      </c>
      <c r="AN140" s="742">
        <f>SUM(AD140:AM141)</f>
        <v>0</v>
      </c>
      <c r="AO140" s="739">
        <f>AN140+AZ140</f>
        <v>0</v>
      </c>
      <c r="AP140" s="675" cm="1">
        <f t="array" ref="AP140">_xlfn.IFNA(_xlfn.IFS(AND(BB57=20, BT57=8.77,$BD140="Full year"),$BB140*$BF140,
AND(BB57&gt;=10, BB57&lt;=19, BT57&gt;=4.39,BT57&lt;=8.33,$BD140="Full year"),$BB140*$BF141,
AND(BB57=20,BT57=4.39,$BD140="Fall"),$BB140*$BF141,
AND(BB57&gt;=10, BB57&lt;=19, BT57&gt;=2.19,BT57&lt;=4.17,$BD140="Fall"),$BB140*($BF141/2),
AND(BB57=20, BT57=4.39,$BD140="Spring"),$BB140*$BF141,
AND(BB57&gt;=10, BB57&lt;=19, BT57&gt;=2.19,BT57&lt;=4.17,$BD140="Spring"),$BB140*($BF141/2))*1.05^G$2,0)</f>
        <v>0</v>
      </c>
      <c r="AQ140" s="666" cm="1">
        <f t="array" ref="AQ140">_xlfn.IFNA(_xlfn.IFS(AND(BC57=20, BU57=8.77,$BD140="Full year"),$BB140*$BF140,
AND(BC57&gt;=10, BC57&lt;=19, BU57&gt;=4.39,BU57&lt;=8.33,$BD140="Full year"),$BB140*$BF141,
AND(BC57=20,BU57=4.39,$BD140="Fall"),$BB140*$BF141,
AND(BC57&gt;=10, BC57&lt;=19, BU57&gt;=2.19,BU57&lt;=4.17,$BD140="Fall"),$BB140*($BF141/2),
AND(BC57=20, BU57=4.39,$BD140="Spring"),$BB140*$BF141,
AND(BC57&gt;=10, BC57&lt;=19, BU57&gt;=2.19,BU57&lt;=4.17,$BD140="Spring"),$BB140*($BF141/2))*1.05^H$2,0)</f>
        <v>0</v>
      </c>
      <c r="AR140" s="666" cm="1">
        <f t="array" ref="AR140">_xlfn.IFNA(_xlfn.IFS(AND(BD57=20, BV57=8.77,$BD140="Full year"),$BB140*$BF140,
AND(BD57&gt;=10, BD57&lt;=19, BV57&gt;=4.39,BV57&lt;=8.33,$BD140="Full year"),$BB140*$BF141,
AND(BD57=20,BV57=4.39,$BD140="Fall"),$BB140*$BF141,
AND(BD57&gt;=10, BD57&lt;=19, BV57&gt;=2.19,BV57&lt;=4.17,$BD140="Fall"),$BB140*($BF141/2),
AND(BD57=20, BV57=4.39,$BD140="Spring"),$BB140*$BF141,
AND(BD57&gt;=10, BD57&lt;=19, BV57&gt;=2.19,BV57&lt;=4.17,$BD140="Spring"),$BB140*($BF141/2))*1.05^I$2,0)</f>
        <v>0</v>
      </c>
      <c r="AS140" s="666" cm="1">
        <f t="array" ref="AS140">_xlfn.IFNA(_xlfn.IFS(AND(BE57=20, BW57=8.77,$BD140="Full year"),$BB140*$BF140,
AND(BE57&gt;=10, BE57&lt;=19, BW57&gt;=4.39,BW57&lt;=8.33,$BD140="Full year"),$BB140*$BF141,
AND(BE57=20,BW57=4.39,$BD140="Fall"),$BB140*$BF141,
AND(BE57&gt;=10, BE57&lt;=19, BW57&gt;=2.19,BW57&lt;=4.17,$BD140="Fall"),$BB140*($BF141/2),
AND(BE57=20, BW57=4.39,$BD140="Spring"),$BB140*$BF141,
AND(BE57&gt;=10, BE57&lt;=19, BW57&gt;=2.19,BW57&lt;=4.17,$BD140="Spring"),$BB140*($BF141/2))*1.05^J$2,0)</f>
        <v>0</v>
      </c>
      <c r="AT140" s="666" cm="1">
        <f t="array" ref="AT140">_xlfn.IFNA(_xlfn.IFS(AND(BF57=20, BX57=8.77,$BD140="Full year"),$BB140*$BF140,
AND(BF57&gt;=10, BF57&lt;=19, BX57&gt;=4.39,BX57&lt;=8.33,$BD140="Full year"),$BB140*$BF141,
AND(BF57=20,BX57=4.39,$BD140="Fall"),$BB140*$BF141,
AND(BF57&gt;=10, BF57&lt;=19, BX57&gt;=2.19,BX57&lt;=4.17,$BD140="Fall"),$BB140*($BF141/2),
AND(BF57=20, BX57=4.39,$BD140="Spring"),$BB140*$BF141,
AND(BF57&gt;=10, BF57&lt;=19, BX57&gt;=2.19,BX57&lt;=4.17,$BD140="Spring"),$BB140*($BF141/2))*1.05^K$2,0)</f>
        <v>0</v>
      </c>
      <c r="AU140" s="666" cm="1">
        <f t="array" ref="AU140">_xlfn.IFNA(_xlfn.IFS(AND(BG57=20, BY57=8.77,$BD140="Full year"),$BB140*$BF140,
AND(BG57&gt;=10, BG57&lt;=19, BY57&gt;=4.39,BY57&lt;=8.33,$BD140="Full year"),$BB140*$BF141,
AND(BG57=20,BY57=4.39,$BD140="Fall"),$BB140*$BF141,
AND(BG57&gt;=10, BG57&lt;=19, BY57&gt;=2.19,BY57&lt;=4.17,$BD140="Fall"),$BB140*($BF141/2),
AND(BG57=20, BY57=4.39,$BD140="Spring"),$BB140*$BF141,
AND(BG57&gt;=10, BG57&lt;=19, BY57&gt;=2.19,BY57&lt;=4.17,$BD140="Spring"),$BB140*($BF141/2))*1.05^L$2,0)</f>
        <v>0</v>
      </c>
      <c r="AV140" s="666" cm="1">
        <f t="array" ref="AV140">_xlfn.IFNA(_xlfn.IFS(AND(BH57=20, BZ57=8.77,$BD140="Full year"),$BB140*$BF140,
AND(BH57&gt;=10, BH57&lt;=19, BZ57&gt;=4.39,BZ57&lt;=8.33,$BD140="Full year"),$BB140*$BF141,
AND(BH57=20,BZ57=4.39,$BD140="Fall"),$BB140*$BF141,
AND(BH57&gt;=10, BH57&lt;=19, BZ57&gt;=2.19,BZ57&lt;=4.17,$BD140="Fall"),$BB140*($BF141/2),
AND(BH57=20, BZ57=4.39,$BD140="Spring"),$BB140*$BF141,
AND(BH57&gt;=10, BH57&lt;=19, BZ57&gt;=2.19,BZ57&lt;=4.17,$BD140="Spring"),$BB140*($BF141/2))*1.05^M$2,0)</f>
        <v>0</v>
      </c>
      <c r="AW140" s="666" cm="1">
        <f t="array" ref="AW140">_xlfn.IFNA(_xlfn.IFS(AND(BI57=20, CA57=8.77,$BD140="Full year"),$BB140*$BF140,
AND(BI57&gt;=10, BI57&lt;=19, CA57&gt;=4.39,CA57&lt;=8.33,$BD140="Full year"),$BB140*$BF141,
AND(BI57=20,CA57=4.39,$BD140="Fall"),$BB140*$BF141,
AND(BI57&gt;=10, BI57&lt;=19, CA57&gt;=2.19,CA57&lt;=4.17,$BD140="Fall"),$BB140*($BF141/2),
AND(BI57=20, CA57=4.39,$BD140="Spring"),$BB140*$BF141,
AND(BI57&gt;=10, BI57&lt;=19, CA57&gt;=2.19,CA57&lt;=4.17,$BD140="Spring"),$BB140*($BF141/2))*1.05^N$2,0)</f>
        <v>0</v>
      </c>
      <c r="AX140" s="666" cm="1">
        <f t="array" ref="AX140">_xlfn.IFNA(_xlfn.IFS(AND(BJ57=20, CB57=8.77,$BD140="Full year"),$BB140*$BF140,
AND(BJ57&gt;=10, BJ57&lt;=19, CB57&gt;=4.39,CB57&lt;=8.33,$BD140="Full year"),$BB140*$BF141,
AND(BJ57=20,CB57=4.39,$BD140="Fall"),$BB140*$BF141,
AND(BJ57&gt;=10, BJ57&lt;=19, CB57&gt;=2.19,CB57&lt;=4.17,$BD140="Fall"),$BB140*($BF141/2),
AND(BJ57=20, CB57=4.39,$BD140="Spring"),$BB140*$BF141,
AND(BJ57&gt;=10, BJ57&lt;=19, CB57&gt;=2.19,CB57&lt;=4.17,$BD140="Spring"),$BB140*($BF141/2))*1.05^O$2,0)</f>
        <v>0</v>
      </c>
      <c r="AY140" s="666" cm="1">
        <f t="array" ref="AY140">_xlfn.IFNA(_xlfn.IFS(AND(BK57=20, CC57=8.77,$BD140="Full year"),$BB140*$BF140,
AND(BK57&gt;=10, BK57&lt;=19, CC57&gt;=4.39,CC57&lt;=8.33,$BD140="Full year"),$BB140*$BF141,
AND(BK57=20,CC57=4.39,$BD140="Fall"),$BB140*$BF141,
AND(BK57&gt;=10, BK57&lt;=19, CC57&gt;=2.19,CC57&lt;=4.17,$BD140="Fall"),$BB140*($BF141/2),
AND(BK57=20, CC57=4.39,$BD140="Spring"),$BB140*$BF141,
AND(BK57&gt;=10, BK57&lt;=19, CC57&gt;=2.19,CC57&lt;=4.17,$BD140="Spring"),$BB140*($BF141/2))*1.05^P$2,0)</f>
        <v>0</v>
      </c>
      <c r="AZ140" s="677">
        <f>SUM(AP140:AY141)</f>
        <v>0</v>
      </c>
      <c r="BB140" s="49">
        <f t="shared" ref="BB140:BB149" si="204">BN57</f>
        <v>0</v>
      </c>
      <c r="BC140" s="19" t="str">
        <f t="shared" ref="BC140:BC149" si="205">BO57</f>
        <v>GRA # 0</v>
      </c>
      <c r="BD140" s="19" t="str">
        <f t="shared" ref="BD140:BD149" si="206">BP57</f>
        <v>Full year</v>
      </c>
      <c r="BE140" s="40" t="s">
        <v>245</v>
      </c>
      <c r="BF140" s="41">
        <f>Rates!C15</f>
        <v>12320</v>
      </c>
      <c r="CD140" s="149"/>
    </row>
    <row r="141" spans="1:85" ht="30" customHeight="1" thickTop="1" thickBot="1" x14ac:dyDescent="0.3">
      <c r="B141" s="49">
        <f>B58</f>
        <v>0</v>
      </c>
      <c r="C141" s="157">
        <f t="shared" si="203"/>
        <v>0</v>
      </c>
      <c r="D141" s="19" t="str">
        <f t="shared" si="203"/>
        <v>Summer</v>
      </c>
      <c r="E141" s="42" t="s">
        <v>246</v>
      </c>
      <c r="F141" s="43">
        <f>Rates!C16</f>
        <v>6160</v>
      </c>
      <c r="G141" s="748"/>
      <c r="H141" s="748"/>
      <c r="I141" s="748"/>
      <c r="J141" s="748"/>
      <c r="K141" s="748"/>
      <c r="L141" s="748"/>
      <c r="M141" s="748"/>
      <c r="N141" s="748"/>
      <c r="O141" s="748"/>
      <c r="P141" s="748"/>
      <c r="Q141" s="748"/>
      <c r="R141" s="748"/>
      <c r="S141" s="748"/>
      <c r="T141" s="748"/>
      <c r="U141" s="748"/>
      <c r="V141" s="748"/>
      <c r="W141" s="748"/>
      <c r="X141" s="748"/>
      <c r="Y141" s="748"/>
      <c r="Z141" s="748"/>
      <c r="AA141" s="748"/>
      <c r="AB141" s="748"/>
      <c r="AC141" s="748"/>
      <c r="AD141" s="664"/>
      <c r="AE141" s="664"/>
      <c r="AF141" s="664"/>
      <c r="AG141" s="664"/>
      <c r="AH141" s="664"/>
      <c r="AI141" s="664"/>
      <c r="AJ141" s="664"/>
      <c r="AK141" s="664"/>
      <c r="AL141" s="664"/>
      <c r="AM141" s="664"/>
      <c r="AN141" s="743"/>
      <c r="AO141" s="739"/>
      <c r="AP141" s="676"/>
      <c r="AQ141" s="667"/>
      <c r="AR141" s="667"/>
      <c r="AS141" s="667"/>
      <c r="AT141" s="667"/>
      <c r="AU141" s="667"/>
      <c r="AV141" s="667"/>
      <c r="AW141" s="667"/>
      <c r="AX141" s="667"/>
      <c r="AY141" s="667"/>
      <c r="AZ141" s="674"/>
      <c r="BB141" s="49">
        <f t="shared" si="204"/>
        <v>0</v>
      </c>
      <c r="BC141" s="157">
        <f t="shared" si="205"/>
        <v>0</v>
      </c>
      <c r="BD141" s="19" t="str">
        <f t="shared" si="206"/>
        <v>Summer</v>
      </c>
      <c r="BE141" s="42" t="s">
        <v>246</v>
      </c>
      <c r="BF141" s="206">
        <f>Rates!C16</f>
        <v>6160</v>
      </c>
      <c r="CD141" s="149"/>
    </row>
    <row r="142" spans="1:85" ht="30" hidden="1" customHeight="1" outlineLevel="1" thickTop="1" thickBot="1" x14ac:dyDescent="0.3">
      <c r="B142" s="49">
        <f t="shared" si="203"/>
        <v>0</v>
      </c>
      <c r="C142" s="19" t="str">
        <f t="shared" si="203"/>
        <v>GRA #2</v>
      </c>
      <c r="D142" s="19" t="str">
        <f t="shared" si="203"/>
        <v>Full year</v>
      </c>
      <c r="E142" s="40" t="s">
        <v>245</v>
      </c>
      <c r="F142" s="41">
        <f>Rates!C15</f>
        <v>12320</v>
      </c>
      <c r="G142" s="748"/>
      <c r="H142" s="748"/>
      <c r="I142" s="748"/>
      <c r="J142" s="748"/>
      <c r="K142" s="748"/>
      <c r="L142" s="748"/>
      <c r="M142" s="748"/>
      <c r="N142" s="748"/>
      <c r="O142" s="748"/>
      <c r="P142" s="748"/>
      <c r="Q142" s="748"/>
      <c r="R142" s="748"/>
      <c r="S142" s="748"/>
      <c r="T142" s="748"/>
      <c r="U142" s="748"/>
      <c r="V142" s="748"/>
      <c r="W142" s="748"/>
      <c r="X142" s="748"/>
      <c r="Y142" s="748"/>
      <c r="Z142" s="748"/>
      <c r="AA142" s="748"/>
      <c r="AB142" s="748"/>
      <c r="AC142" s="748"/>
      <c r="AD142" s="663" cm="1">
        <f t="array" ref="AD142">_xlfn.IFNA(_xlfn.IFS(AND(G59=20, S59=8.77,$D142="Full year"),$B142*$F142,
AND(G59&gt;=10, G59&lt;=19, S59&gt;=4.39,S59&lt;=8.33,$D142="Full year"),$B142*$F143,
AND(G59=20,S59=4.39,$D142="Fall"),$B142*$F143,
AND(G59&gt;=10, G59&lt;=19, S59&gt;=2.19,S59&lt;=4.17,$D142="Fall"),$B142*($F143/2),
AND(G59=20, S59=4.39,$D142="Spring"),$B142*$F143,
AND(G59&gt;=10, G59&lt;=19, S59&gt;=2.19,S59&lt;=4.17,$D142="Spring"),$B142*($F143/2))*1.05^G$2,0)</f>
        <v>0</v>
      </c>
      <c r="AE142" s="663" cm="1">
        <f t="array" ref="AE142">_xlfn.IFNA(_xlfn.IFS(AND(H59=20, T59=8.77,$D142="Full year"),$B142*$F142,
AND(H59&gt;=10, H59&lt;=19, T59&gt;=4.39,T59&lt;=8.33,$D142="Full year"),$B142*$F143,
AND(H59=20,T59=4.39,$D142="Fall"),$B142*$F143,
AND(H59&gt;=10, H59&lt;=19, T59&gt;=2.19,T59&lt;=4.17,$D142="Fall"),$B142*($F143/2),
AND(H59=20, T59=4.39,$D142="Spring"),$B142*$F143,
AND(H59&gt;=10, H59&lt;=19, T59&gt;=2.19,T59&lt;=4.17,$D142="Spring"),$B142*($F143/2))*1.05^H$2,0)</f>
        <v>0</v>
      </c>
      <c r="AF142" s="663" cm="1">
        <f t="array" ref="AF142">_xlfn.IFNA(_xlfn.IFS(AND(I59=20, U59=8.77,$D142="Full year"),$B142*$F142,
AND(I59&gt;=10, I59&lt;=19, U59&gt;=4.39,U59&lt;=8.33,$D142="Full year"),$B142*$F143,
AND(I59=20,U59=4.39,$D142="Fall"),$B142*$F143,
AND(I59&gt;=10, I59&lt;=19, U59&gt;=2.19,U59&lt;=4.17,$D142="Fall"),$B142*($F143/2),
AND(I59=20, U59=4.39,$D142="Spring"),$B142*$F143,
AND(I59&gt;=10, I59&lt;=19, U59&gt;=2.19,U59&lt;=4.17,$D142="Spring"),$B142*($F143/2))*1.05^I$2,0)</f>
        <v>0</v>
      </c>
      <c r="AG142" s="663" cm="1">
        <f t="array" ref="AG142">_xlfn.IFNA(_xlfn.IFS(AND(J59=20, V59=8.77,$D142="Full year"),$B142*$F142,
AND(J59&gt;=10, J59&lt;=19, V59&gt;=4.39,V59&lt;=8.33,$D142="Full year"),$B142*$F143,
AND(J59=20,V59=4.39,$D142="Fall"),$B142*$F143,
AND(J59&gt;=10, J59&lt;=19, V59&gt;=2.19,V59&lt;=4.17,$D142="Fall"),$B142*($F143/2),
AND(J59=20, V59=4.39,$D142="Spring"),$B142*$F143,
AND(J59&gt;=10, J59&lt;=19, V59&gt;=2.19,V59&lt;=4.17,$D142="Spring"),$B142*($F143/2))*1.05^J$2,0)</f>
        <v>0</v>
      </c>
      <c r="AH142" s="663" cm="1">
        <f t="array" ref="AH142">_xlfn.IFNA(_xlfn.IFS(AND(K59=20, W59=8.77,$D142="Full year"),$B142*$F142,
AND(K59&gt;=10, K59&lt;=19, W59&gt;=4.39,W59&lt;=8.33,$D142="Full year"),$B142*$F143,
AND(K59=20,W59=4.39,$D142="Fall"),$B142*$F143,
AND(K59&gt;=10, K59&lt;=19, W59&gt;=2.19,W59&lt;=4.17,$D142="Fall"),$B142*($F143/2),
AND(K59=20, W59=4.39,$D142="Spring"),$B142*$F143,
AND(K59&gt;=10, K59&lt;=19, W59&gt;=2.19,W59&lt;=4.17,$D142="Spring"),$B142*($F143/2))*1.05^K$2,0)</f>
        <v>0</v>
      </c>
      <c r="AI142" s="663" cm="1">
        <f t="array" ref="AI142">_xlfn.IFNA(_xlfn.IFS(AND(L59=20, X59=8.77,$D142="Full year"),$B142*$F142,
AND(L59&gt;=10, L59&lt;=19, X59&gt;=4.39,X59&lt;=8.33,$D142="Full year"),$B142*$F143,
AND(L59=20,X59=4.39,$D142="Fall"),$B142*$F143,
AND(L59&gt;=10, L59&lt;=19, X59&gt;=2.19,X59&lt;=4.17,$D142="Fall"),$B142*($F143/2),
AND(L59=20, X59=4.39,$D142="Spring"),$B142*$F143,
AND(L59&gt;=10, L59&lt;=19, X59&gt;=2.19,X59&lt;=4.17,$D142="Spring"),$B142*($F143/2))*1.05^L$2,0)</f>
        <v>0</v>
      </c>
      <c r="AJ142" s="663" cm="1">
        <f t="array" ref="AJ142">_xlfn.IFNA(_xlfn.IFS(AND(M59=20, Y59=8.77,$D142="Full year"),$B142*$F142,
AND(M59&gt;=10, M59&lt;=19, Y59&gt;=4.39,Y59&lt;=8.33,$D142="Full year"),$B142*$F143,
AND(M59=20,Y59=4.39,$D142="Fall"),$B142*$F143,
AND(M59&gt;=10, M59&lt;=19, Y59&gt;=2.19,Y59&lt;=4.17,$D142="Fall"),$B142*($F143/2),
AND(M59=20, Y59=4.39,$D142="Spring"),$B142*$F143,
AND(M59&gt;=10, M59&lt;=19, Y59&gt;=2.19,Y59&lt;=4.17,$D142="Spring"),$B142*($F143/2))*1.05^M$2,0)</f>
        <v>0</v>
      </c>
      <c r="AK142" s="663" cm="1">
        <f t="array" ref="AK142">_xlfn.IFNA(_xlfn.IFS(AND(N59=20, Z59=8.77,$D142="Full year"),$B142*$F142,
AND(N59&gt;=10, N59&lt;=19, Z59&gt;=4.39,Z59&lt;=8.33,$D142="Full year"),$B142*$F143,
AND(N59=20,Z59=4.39,$D142="Fall"),$B142*$F143,
AND(N59&gt;=10, N59&lt;=19, Z59&gt;=2.19,Z59&lt;=4.17,$D142="Fall"),$B142*($F143/2),
AND(N59=20, Z59=4.39,$D142="Spring"),$B142*$F143,
AND(N59&gt;=10, N59&lt;=19, Z59&gt;=2.19,Z59&lt;=4.17,$D142="Spring"),$B142*($F143/2))*1.05^N$2,0)</f>
        <v>0</v>
      </c>
      <c r="AL142" s="663" cm="1">
        <f t="array" ref="AL142">_xlfn.IFNA(_xlfn.IFS(AND(O59=20, AA59=8.77,$D142="Full year"),$B142*$F142,
AND(O59&gt;=10, O59&lt;=19, AA59&gt;=4.39,AA59&lt;=8.33,$D142="Full year"),$B142*$F143,
AND(O59=20,AA59=4.39,$D142="Fall"),$B142*$F143,
AND(O59&gt;=10, O59&lt;=19, AA59&gt;=2.19,AA59&lt;=4.17,$D142="Fall"),$B142*($F143/2),
AND(O59=20, AA59=4.39,$D142="Spring"),$B142*$F143,
AND(O59&gt;=10, O59&lt;=19, AA59&gt;=2.19,AA59&lt;=4.17,$D142="Spring"),$B142*($F143/2))*1.05^O$2,0)</f>
        <v>0</v>
      </c>
      <c r="AM142" s="663" cm="1">
        <f t="array" ref="AM142">_xlfn.IFNA(_xlfn.IFS(AND(P59=20, AB59=8.77,$D142="Full year"),$B142*$F142,
AND(P59&gt;=10, P59&lt;=19, AB59&gt;=4.39,AB59&lt;=8.33,$D142="Full year"),$B142*$F143,
AND(P59=20,AB59=4.39,$D142="Fall"),$B142*$F143,
AND(P59&gt;=10, P59&lt;=19, AB59&gt;=2.19,AB59&lt;=4.17,$D142="Fall"),$B142*($F143/2),
AND(P59=20, AB59=4.39,$D142="Spring"),$B142*$F143,
AND(P59&gt;=10, P59&lt;=19, AB59&gt;=2.19,AB59&lt;=4.17,$D142="Spring"),$B142*($F143/2))*1.05^P$2,0)</f>
        <v>0</v>
      </c>
      <c r="AN142" s="745">
        <f>SUM(AD142:AM143)</f>
        <v>0</v>
      </c>
      <c r="AO142" s="739">
        <f>AN142+AZ142</f>
        <v>0</v>
      </c>
      <c r="AP142" s="675" cm="1">
        <f t="array" ref="AP142">_xlfn.IFNA(_xlfn.IFS(AND(BB59=20, BT59=8.77,$BD142="Full year"),$BB142*$BF142,
AND(BB59&gt;=10, BB59&lt;=19, BT59&gt;=4.39,BT59&lt;=8.33,$BD142="Full year"),$BB142*$BF143,
AND(BB59=20,BT59=4.39,$BD142="Fall"),$BB142*$BF143,
AND(BB59&gt;=10, BB59&lt;=19, BT59&gt;=2.19,BT59&lt;=4.17,$BD142="Fall"),$BB142*($BF143/2),
AND(BB59=20, BT59=4.39,$BD142="Spring"),$BB142*$BF143,
AND(BB59&gt;=10, BB59&lt;=19, BT59&gt;=2.19,BT59&lt;=4.17,$BD142="Spring"),$BB142*($BF143/2))*1.05^G$2,0)</f>
        <v>0</v>
      </c>
      <c r="AQ142" s="666" cm="1">
        <f t="array" ref="AQ142">_xlfn.IFNA(_xlfn.IFS(AND(BC59=20, BU59=8.77,$BD142="Full year"),$BB142*$BF142,
AND(BC59&gt;=10, BC59&lt;=19, BU59&gt;=4.39,BU59&lt;=8.33,$BD142="Full year"),$BB142*$BF143,
AND(BC59=20,BU59=4.39,$BD142="Fall"),$BB142*$BF143,
AND(BC59&gt;=10, BC59&lt;=19, BU59&gt;=2.19,BU59&lt;=4.17,$BD142="Fall"),$BB142*($BF143/2),
AND(BC59=20, BU59=4.39,$BD142="Spring"),$BB142*$BF143,
AND(BC59&gt;=10, BC59&lt;=19, BU59&gt;=2.19,BU59&lt;=4.17,$BD142="Spring"),$BB142*($BF143/2))*1.05^H$2,0)</f>
        <v>0</v>
      </c>
      <c r="AR142" s="666" cm="1">
        <f t="array" ref="AR142">_xlfn.IFNA(_xlfn.IFS(AND(BD59=20, BV59=8.77,$BD142="Full year"),$BB142*$BF142,
AND(BD59&gt;=10, BD59&lt;=19, BV59&gt;=4.39,BV59&lt;=8.33,$BD142="Full year"),$BB142*$BF143,
AND(BD59=20,BV59=4.39,$BD142="Fall"),$BB142*$BF143,
AND(BD59&gt;=10, BD59&lt;=19, BV59&gt;=2.19,BV59&lt;=4.17,$BD142="Fall"),$BB142*($BF143/2),
AND(BD59=20, BV59=4.39,$BD142="Spring"),$BB142*$BF143,
AND(BD59&gt;=10, BD59&lt;=19, BV59&gt;=2.19,BV59&lt;=4.17,$BD142="Spring"),$BB142*($BF143/2))*1.05^I$2,0)</f>
        <v>0</v>
      </c>
      <c r="AS142" s="666" cm="1">
        <f t="array" ref="AS142">_xlfn.IFNA(_xlfn.IFS(AND(BE59=20, BW59=8.77,$BD142="Full year"),$BB142*$BF142,
AND(BE59&gt;=10, BE59&lt;=19, BW59&gt;=4.39,BW59&lt;=8.33,$BD142="Full year"),$BB142*$BF143,
AND(BE59=20,BW59=4.39,$BD142="Fall"),$BB142*$BF143,
AND(BE59&gt;=10, BE59&lt;=19, BW59&gt;=2.19,BW59&lt;=4.17,$BD142="Fall"),$BB142*($BF143/2),
AND(BE59=20, BW59=4.39,$BD142="Spring"),$BB142*$BF143,
AND(BE59&gt;=10, BE59&lt;=19, BW59&gt;=2.19,BW59&lt;=4.17,$BD142="Spring"),$BB142*($BF143/2))*1.05^J$2,0)</f>
        <v>0</v>
      </c>
      <c r="AT142" s="666" cm="1">
        <f t="array" ref="AT142">_xlfn.IFNA(_xlfn.IFS(AND(BF59=20, BX59=8.77,$BD142="Full year"),$BB142*$BF142,
AND(BF59&gt;=10, BF59&lt;=19, BX59&gt;=4.39,BX59&lt;=8.33,$BD142="Full year"),$BB142*$BF143,
AND(BF59=20,BX59=4.39,$BD142="Fall"),$BB142*$BF143,
AND(BF59&gt;=10, BF59&lt;=19, BX59&gt;=2.19,BX59&lt;=4.17,$BD142="Fall"),$BB142*($BF143/2),
AND(BF59=20, BX59=4.39,$BD142="Spring"),$BB142*$BF143,
AND(BF59&gt;=10, BF59&lt;=19, BX59&gt;=2.19,BX59&lt;=4.17,$BD142="Spring"),$BB142*($BF143/2))*1.05^K$2,0)</f>
        <v>0</v>
      </c>
      <c r="AU142" s="666" cm="1">
        <f t="array" ref="AU142">_xlfn.IFNA(_xlfn.IFS(AND(BG59=20, BY59=8.77,$BD142="Full year"),$BB142*$BF142,
AND(BG59&gt;=10, BG59&lt;=19, BY59&gt;=4.39,BY59&lt;=8.33,$BD142="Full year"),$BB142*$BF143,
AND(BG59=20,BY59=4.39,$BD142="Fall"),$BB142*$BF143,
AND(BG59&gt;=10, BG59&lt;=19, BY59&gt;=2.19,BY59&lt;=4.17,$BD142="Fall"),$BB142*($BF143/2),
AND(BG59=20, BY59=4.39,$BD142="Spring"),$BB142*$BF143,
AND(BG59&gt;=10, BG59&lt;=19, BY59&gt;=2.19,BY59&lt;=4.17,$BD142="Spring"),$BB142*($BF143/2))*1.05^L$2,0)</f>
        <v>0</v>
      </c>
      <c r="AV142" s="666" cm="1">
        <f t="array" ref="AV142">_xlfn.IFNA(_xlfn.IFS(AND(BH59=20, BZ59=8.77,$BD142="Full year"),$BB142*$BF142,
AND(BH59&gt;=10, BH59&lt;=19, BZ59&gt;=4.39,BZ59&lt;=8.33,$BD142="Full year"),$BB142*$BF143,
AND(BH59=20,BZ59=4.39,$BD142="Fall"),$BB142*$BF143,
AND(BH59&gt;=10, BH59&lt;=19, BZ59&gt;=2.19,BZ59&lt;=4.17,$BD142="Fall"),$BB142*($BF143/2),
AND(BH59=20, BZ59=4.39,$BD142="Spring"),$BB142*$BF143,
AND(BH59&gt;=10, BH59&lt;=19, BZ59&gt;=2.19,BZ59&lt;=4.17,$BD142="Spring"),$BB142*($BF143/2))*1.05^M$2,0)</f>
        <v>0</v>
      </c>
      <c r="AW142" s="666" cm="1">
        <f t="array" ref="AW142">_xlfn.IFNA(_xlfn.IFS(AND(BI59=20, CA59=8.77,$BD142="Full year"),$BB142*$BF142,
AND(BI59&gt;=10, BI59&lt;=19, CA59&gt;=4.39,CA59&lt;=8.33,$BD142="Full year"),$BB142*$BF143,
AND(BI59=20,CA59=4.39,$BD142="Fall"),$BB142*$BF143,
AND(BI59&gt;=10, BI59&lt;=19, CA59&gt;=2.19,CA59&lt;=4.17,$BD142="Fall"),$BB142*($BF143/2),
AND(BI59=20, CA59=4.39,$BD142="Spring"),$BB142*$BF143,
AND(BI59&gt;=10, BI59&lt;=19, CA59&gt;=2.19,CA59&lt;=4.17,$BD142="Spring"),$BB142*($BF143/2))*1.05^N$2,0)</f>
        <v>0</v>
      </c>
      <c r="AX142" s="666" cm="1">
        <f t="array" ref="AX142">_xlfn.IFNA(_xlfn.IFS(AND(BJ59=20, CB59=8.77,$BD142="Full year"),$BB142*$BF142,
AND(BJ59&gt;=10, BJ59&lt;=19, CB59&gt;=4.39,CB59&lt;=8.33,$BD142="Full year"),$BB142*$BF143,
AND(BJ59=20,CB59=4.39,$BD142="Fall"),$BB142*$BF143,
AND(BJ59&gt;=10, BJ59&lt;=19, CB59&gt;=2.19,CB59&lt;=4.17,$BD142="Fall"),$BB142*($BF143/2),
AND(BJ59=20, CB59=4.39,$BD142="Spring"),$BB142*$BF143,
AND(BJ59&gt;=10, BJ59&lt;=19, CB59&gt;=2.19,CB59&lt;=4.17,$BD142="Spring"),$BB142*($BF143/2))*1.05^O$2,0)</f>
        <v>0</v>
      </c>
      <c r="AY142" s="666" cm="1">
        <f t="array" ref="AY142">_xlfn.IFNA(_xlfn.IFS(AND(BK59=20, CC59=8.77,$BD142="Full year"),$BB142*$BF142,
AND(BK59&gt;=10, BK59&lt;=19, CC59&gt;=4.39,CC59&lt;=8.33,$BD142="Full year"),$BB142*$BF143,
AND(BK59=20,CC59=4.39,$BD142="Fall"),$BB142*$BF143,
AND(BK59&gt;=10, BK59&lt;=19, CC59&gt;=2.19,CC59&lt;=4.17,$BD142="Fall"),$BB142*($BF143/2),
AND(BK59=20, CC59=4.39,$BD142="Spring"),$BB142*$BF143,
AND(BK59&gt;=10, BK59&lt;=19, CC59&gt;=2.19,CC59&lt;=4.17,$BD142="Spring"),$BB142*($BF143/2))*1.05^P$2,0)</f>
        <v>0</v>
      </c>
      <c r="AZ142" s="673">
        <f>SUM(AP142:AY143)</f>
        <v>0</v>
      </c>
      <c r="BB142" s="49">
        <f t="shared" si="204"/>
        <v>0</v>
      </c>
      <c r="BC142" s="19" t="str">
        <f t="shared" si="205"/>
        <v>GRA #1</v>
      </c>
      <c r="BD142" s="19" t="str">
        <f t="shared" si="206"/>
        <v>Full year</v>
      </c>
      <c r="BE142" s="40" t="s">
        <v>245</v>
      </c>
      <c r="BF142" s="41">
        <f>Rates!C15</f>
        <v>12320</v>
      </c>
      <c r="CD142" s="149"/>
    </row>
    <row r="143" spans="1:85" ht="30" hidden="1" customHeight="1" outlineLevel="1" thickTop="1" thickBot="1" x14ac:dyDescent="0.3">
      <c r="B143" s="49">
        <f t="shared" si="203"/>
        <v>0</v>
      </c>
      <c r="C143" s="157">
        <f t="shared" si="203"/>
        <v>0</v>
      </c>
      <c r="D143" s="19" t="str">
        <f t="shared" si="203"/>
        <v>Summer</v>
      </c>
      <c r="E143" s="42" t="s">
        <v>247</v>
      </c>
      <c r="F143" s="43">
        <f>Rates!C16</f>
        <v>6160</v>
      </c>
      <c r="G143" s="748"/>
      <c r="H143" s="748"/>
      <c r="I143" s="748"/>
      <c r="J143" s="748"/>
      <c r="K143" s="748"/>
      <c r="L143" s="748"/>
      <c r="M143" s="748"/>
      <c r="N143" s="748"/>
      <c r="O143" s="748"/>
      <c r="P143" s="748"/>
      <c r="Q143" s="748"/>
      <c r="R143" s="748"/>
      <c r="S143" s="748"/>
      <c r="T143" s="748"/>
      <c r="U143" s="748"/>
      <c r="V143" s="748"/>
      <c r="W143" s="748"/>
      <c r="X143" s="748"/>
      <c r="Y143" s="748"/>
      <c r="Z143" s="748"/>
      <c r="AA143" s="748"/>
      <c r="AB143" s="748"/>
      <c r="AC143" s="748"/>
      <c r="AD143" s="664"/>
      <c r="AE143" s="664"/>
      <c r="AF143" s="664"/>
      <c r="AG143" s="664"/>
      <c r="AH143" s="664"/>
      <c r="AI143" s="664"/>
      <c r="AJ143" s="664"/>
      <c r="AK143" s="664"/>
      <c r="AL143" s="664"/>
      <c r="AM143" s="664"/>
      <c r="AN143" s="743"/>
      <c r="AO143" s="739"/>
      <c r="AP143" s="676"/>
      <c r="AQ143" s="667"/>
      <c r="AR143" s="667"/>
      <c r="AS143" s="667"/>
      <c r="AT143" s="667"/>
      <c r="AU143" s="667"/>
      <c r="AV143" s="667"/>
      <c r="AW143" s="667"/>
      <c r="AX143" s="667"/>
      <c r="AY143" s="667"/>
      <c r="AZ143" s="674"/>
      <c r="BB143" s="49">
        <f t="shared" si="204"/>
        <v>0</v>
      </c>
      <c r="BC143" s="157">
        <f t="shared" si="205"/>
        <v>0</v>
      </c>
      <c r="BD143" s="19" t="str">
        <f t="shared" si="206"/>
        <v>Summer</v>
      </c>
      <c r="BE143" s="42" t="s">
        <v>247</v>
      </c>
      <c r="BF143" s="206">
        <f>Rates!C16</f>
        <v>6160</v>
      </c>
      <c r="CD143" s="149"/>
    </row>
    <row r="144" spans="1:85" ht="30" hidden="1" customHeight="1" outlineLevel="1" thickTop="1" thickBot="1" x14ac:dyDescent="0.3">
      <c r="B144" s="49">
        <f t="shared" si="203"/>
        <v>0</v>
      </c>
      <c r="C144" s="19" t="str">
        <f t="shared" si="203"/>
        <v>GRA #3</v>
      </c>
      <c r="D144" s="19" t="str">
        <f t="shared" si="203"/>
        <v>Full year</v>
      </c>
      <c r="E144" s="40" t="s">
        <v>245</v>
      </c>
      <c r="F144" s="41">
        <f>Rates!C15</f>
        <v>12320</v>
      </c>
      <c r="G144" s="748"/>
      <c r="H144" s="748"/>
      <c r="I144" s="748"/>
      <c r="J144" s="748"/>
      <c r="K144" s="748"/>
      <c r="L144" s="748"/>
      <c r="M144" s="748"/>
      <c r="N144" s="748"/>
      <c r="O144" s="748"/>
      <c r="P144" s="748"/>
      <c r="Q144" s="748"/>
      <c r="R144" s="748"/>
      <c r="S144" s="748"/>
      <c r="T144" s="748"/>
      <c r="U144" s="748"/>
      <c r="V144" s="748"/>
      <c r="W144" s="748"/>
      <c r="X144" s="748"/>
      <c r="Y144" s="748"/>
      <c r="Z144" s="748"/>
      <c r="AA144" s="748"/>
      <c r="AB144" s="748"/>
      <c r="AC144" s="748"/>
      <c r="AD144" s="663" cm="1">
        <f t="array" ref="AD144">_xlfn.IFNA(_xlfn.IFS(AND(G61=20, S61=8.77,$D144="Full year"),$B144*$F144,
AND(G61&gt;=10, G61&lt;=19, S61&gt;=4.39,S61&lt;=8.33,$D144="Full year"),$B144*$F145,
AND(G61=20,S61=4.39,$D144="Fall"),$B144*$F145,
AND(G61&gt;=10, G61&lt;=19, S61&gt;=2.19,S61&lt;=4.17,$D144="Fall"),$B144*($F145/2),
AND(G61=20, S61=4.39,$D144="Spring"),$B144*$F145,
AND(G61&gt;=10, G61&lt;=19, S61&gt;=2.19,S61&lt;=4.17,$D144="Spring"),$B144*($F145/2))*1.05^G$2,0)</f>
        <v>0</v>
      </c>
      <c r="AE144" s="663" cm="1">
        <f t="array" ref="AE144">_xlfn.IFNA(_xlfn.IFS(AND(H61=20, T61=8.77,$D144="Full year"),$B144*$F144,
AND(H61&gt;=10, H61&lt;=19, T61&gt;=4.39,T61&lt;=8.33,$D144="Full year"),$B144*$F145,
AND(H61=20,T61=4.39,$D144="Fall"),$B144*$F145,
AND(H61&gt;=10, H61&lt;=19, T61&gt;=2.19,T61&lt;=4.17,$D144="Fall"),$B144*($F145/2),
AND(H61=20, T61=4.39,$D144="Spring"),$B144*$F145,
AND(H61&gt;=10, H61&lt;=19, T61&gt;=2.19,T61&lt;=4.17,$D144="Spring"),$B144*($F145/2))*1.05^H$2,0)</f>
        <v>0</v>
      </c>
      <c r="AF144" s="663" cm="1">
        <f t="array" ref="AF144">_xlfn.IFNA(_xlfn.IFS(AND(I61=20, U61=8.77,$D144="Full year"),$B144*$F144,
AND(I61&gt;=10, I61&lt;=19, U61&gt;=4.39,U61&lt;=8.33,$D144="Full year"),$B144*$F145,
AND(I61=20,U61=4.39,$D144="Fall"),$B144*$F145,
AND(I61&gt;=10, I61&lt;=19, U61&gt;=2.19,U61&lt;=4.17,$D144="Fall"),$B144*($F145/2),
AND(I61=20, U61=4.39,$D144="Spring"),$B144*$F145,
AND(I61&gt;=10, I61&lt;=19, U61&gt;=2.19,U61&lt;=4.17,$D144="Spring"),$B144*($F145/2))*1.05^I$2,0)</f>
        <v>0</v>
      </c>
      <c r="AG144" s="663" cm="1">
        <f t="array" ref="AG144">_xlfn.IFNA(_xlfn.IFS(AND(J61=20, V61=8.77,$D144="Full year"),$B144*$F144,
AND(J61&gt;=10, J61&lt;=19, V61&gt;=4.39,V61&lt;=8.33,$D144="Full year"),$B144*$F145,
AND(J61=20,V61=4.39,$D144="Fall"),$B144*$F145,
AND(J61&gt;=10, J61&lt;=19, V61&gt;=2.19,V61&lt;=4.17,$D144="Fall"),$B144*($F145/2),
AND(J61=20, V61=4.39,$D144="Spring"),$B144*$F145,
AND(J61&gt;=10, J61&lt;=19, V61&gt;=2.19,V61&lt;=4.17,$D144="Spring"),$B144*($F145/2))*1.05^J$2,0)</f>
        <v>0</v>
      </c>
      <c r="AH144" s="663" cm="1">
        <f t="array" ref="AH144">_xlfn.IFNA(_xlfn.IFS(AND(K61=20, W61=8.77,$D144="Full year"),$B144*$F144,
AND(K61&gt;=10, K61&lt;=19, W61&gt;=4.39,W61&lt;=8.33,$D144="Full year"),$B144*$F145,
AND(K61=20,W61=4.39,$D144="Fall"),$B144*$F145,
AND(K61&gt;=10, K61&lt;=19, W61&gt;=2.19,W61&lt;=4.17,$D144="Fall"),$B144*($F145/2),
AND(K61=20, W61=4.39,$D144="Spring"),$B144*$F145,
AND(K61&gt;=10, K61&lt;=19, W61&gt;=2.19,W61&lt;=4.17,$D144="Spring"),$B144*($F145/2))*1.05^K$2,0)</f>
        <v>0</v>
      </c>
      <c r="AI144" s="663" cm="1">
        <f t="array" ref="AI144">_xlfn.IFNA(_xlfn.IFS(AND(L61=20, X61=8.77,$D144="Full year"),$B144*$F144,
AND(L61&gt;=10, L61&lt;=19, X61&gt;=4.39,X61&lt;=8.33,$D144="Full year"),$B144*$F145,
AND(L61=20,X61=4.39,$D144="Fall"),$B144*$F145,
AND(L61&gt;=10, L61&lt;=19, X61&gt;=2.19,X61&lt;=4.17,$D144="Fall"),$B144*($F145/2),
AND(L61=20, X61=4.39,$D144="Spring"),$B144*$F145,
AND(L61&gt;=10, L61&lt;=19, X61&gt;=2.19,X61&lt;=4.17,$D144="Spring"),$B144*($F145/2))*1.05^L$2,0)</f>
        <v>0</v>
      </c>
      <c r="AJ144" s="663" cm="1">
        <f t="array" ref="AJ144">_xlfn.IFNA(_xlfn.IFS(AND(M61=20, Y61=8.77,$D144="Full year"),$B144*$F144,
AND(M61&gt;=10, M61&lt;=19, Y61&gt;=4.39,Y61&lt;=8.33,$D144="Full year"),$B144*$F145,
AND(M61=20,Y61=4.39,$D144="Fall"),$B144*$F145,
AND(M61&gt;=10, M61&lt;=19, Y61&gt;=2.19,Y61&lt;=4.17,$D144="Fall"),$B144*($F145/2),
AND(M61=20, Y61=4.39,$D144="Spring"),$B144*$F145,
AND(M61&gt;=10, M61&lt;=19, Y61&gt;=2.19,Y61&lt;=4.17,$D144="Spring"),$B144*($F145/2))*1.05^M$2,0)</f>
        <v>0</v>
      </c>
      <c r="AK144" s="663" cm="1">
        <f t="array" ref="AK144">_xlfn.IFNA(_xlfn.IFS(AND(N61=20, Z61=8.77,$D144="Full year"),$B144*$F144,
AND(N61&gt;=10, N61&lt;=19, Z61&gt;=4.39,Z61&lt;=8.33,$D144="Full year"),$B144*$F145,
AND(N61=20,Z61=4.39,$D144="Fall"),$B144*$F145,
AND(N61&gt;=10, N61&lt;=19, Z61&gt;=2.19,Z61&lt;=4.17,$D144="Fall"),$B144*($F145/2),
AND(N61=20, Z61=4.39,$D144="Spring"),$B144*$F145,
AND(N61&gt;=10, N61&lt;=19, Z61&gt;=2.19,Z61&lt;=4.17,$D144="Spring"),$B144*($F145/2))*1.05^N$2,0)</f>
        <v>0</v>
      </c>
      <c r="AL144" s="663" cm="1">
        <f t="array" ref="AL144">_xlfn.IFNA(_xlfn.IFS(AND(O61=20, AA61=8.77,$D144="Full year"),$B144*$F144,
AND(O61&gt;=10, O61&lt;=19, AA61&gt;=4.39,AA61&lt;=8.33,$D144="Full year"),$B144*$F145,
AND(O61=20,AA61=4.39,$D144="Fall"),$B144*$F145,
AND(O61&gt;=10, O61&lt;=19, AA61&gt;=2.19,AA61&lt;=4.17,$D144="Fall"),$B144*($F145/2),
AND(O61=20, AA61=4.39,$D144="Spring"),$B144*$F145,
AND(O61&gt;=10, O61&lt;=19, AA61&gt;=2.19,AA61&lt;=4.17,$D144="Spring"),$B144*($F145/2))*1.05^O$2,0)</f>
        <v>0</v>
      </c>
      <c r="AM144" s="663" cm="1">
        <f t="array" ref="AM144">_xlfn.IFNA(_xlfn.IFS(AND(P61=20, AB61=8.77,$D144="Full year"),$B144*$F144,
AND(P61&gt;=10, P61&lt;=19, AB61&gt;=4.39,AB61&lt;=8.33,$D144="Full year"),$B144*$F145,
AND(P61=20,AB61=4.39,$D144="Fall"),$B144*$F145,
AND(P61&gt;=10, P61&lt;=19, AB61&gt;=2.19,AB61&lt;=4.17,$D144="Fall"),$B144*($F145/2),
AND(P61=20, AB61=4.39,$D144="Spring"),$B144*$F145,
AND(P61&gt;=10, P61&lt;=19, AB61&gt;=2.19,AB61&lt;=4.17,$D144="Spring"),$B144*($F145/2))*1.05^P$2,0)</f>
        <v>0</v>
      </c>
      <c r="AN144" s="745">
        <f>SUM(AD144:AM145)</f>
        <v>0</v>
      </c>
      <c r="AO144" s="739">
        <f>AN144+AZ144</f>
        <v>0</v>
      </c>
      <c r="AP144" s="675" cm="1">
        <f t="array" ref="AP144">_xlfn.IFNA(_xlfn.IFS(AND(BB61=20, BT61=8.77,$BD144="Full year"),$BB144*$BF144,
AND(BB61&gt;=10, BB61&lt;=19, BT61&gt;=4.39,BT61&lt;=8.33,$BD144="Full year"),$BB144*$BF145,
AND(BB61=20,BT61=4.39,$BD144="Fall"),$BB144*$BF145,
AND(BB61&gt;=10, BB61&lt;=19, BT61&gt;=2.19,BT61&lt;=4.17,$BD144="Fall"),$BB144*($BF145/2),
AND(BB61=20, BT61=4.39,$BD144="Spring"),$BB144*$BF145,
AND(BB61&gt;=10, BB61&lt;=19, BT61&gt;=2.19,BT61&lt;=4.17,$BD144="Spring"),$BB144*($BF145/2))*1.05^G$2,0)</f>
        <v>0</v>
      </c>
      <c r="AQ144" s="666" cm="1">
        <f t="array" ref="AQ144">_xlfn.IFNA(_xlfn.IFS(AND(BC61=20, BU61=8.77,$BD144="Full year"),$BB144*$BF144,
AND(BC61&gt;=10, BC61&lt;=19, BU61&gt;=4.39,BU61&lt;=8.33,$BD144="Full year"),$BB144*$BF145,
AND(BC61=20,BU61=4.39,$BD144="Fall"),$BB144*$BF145,
AND(BC61&gt;=10, BC61&lt;=19, BU61&gt;=2.19,BU61&lt;=4.17,$BD144="Fall"),$BB144*($BF145/2),
AND(BC61=20, BU61=4.39,$BD144="Spring"),$BB144*$BF145,
AND(BC61&gt;=10, BC61&lt;=19, BU61&gt;=2.19,BU61&lt;=4.17,$BD144="Spring"),$BB144*($BF145/2))*1.05^H$2,0)</f>
        <v>0</v>
      </c>
      <c r="AR144" s="666" cm="1">
        <f t="array" ref="AR144">_xlfn.IFNA(_xlfn.IFS(AND(BD61=20, BV61=8.77,$BD144="Full year"),$BB144*$BF144,
AND(BD61&gt;=10, BD61&lt;=19, BV61&gt;=4.39,BV61&lt;=8.33,$BD144="Full year"),$BB144*$BF145,
AND(BD61=20,BV61=4.39,$BD144="Fall"),$BB144*$BF145,
AND(BD61&gt;=10, BD61&lt;=19, BV61&gt;=2.19,BV61&lt;=4.17,$BD144="Fall"),$BB144*($BF145/2),
AND(BD61=20, BV61=4.39,$BD144="Spring"),$BB144*$BF145,
AND(BD61&gt;=10, BD61&lt;=19, BV61&gt;=2.19,BV61&lt;=4.17,$BD144="Spring"),$BB144*($BF145/2))*1.05^I$2,0)</f>
        <v>0</v>
      </c>
      <c r="AS144" s="666" cm="1">
        <f t="array" ref="AS144">_xlfn.IFNA(_xlfn.IFS(AND(BE61=20, BW61=8.77,$BD144="Full year"),$BB144*$BF144,
AND(BE61&gt;=10, BE61&lt;=19, BW61&gt;=4.39,BW61&lt;=8.33,$BD144="Full year"),$BB144*$BF145,
AND(BE61=20,BW61=4.39,$BD144="Fall"),$BB144*$BF145,
AND(BE61&gt;=10, BE61&lt;=19, BW61&gt;=2.19,BW61&lt;=4.17,$BD144="Fall"),$BB144*($BF145/2),
AND(BE61=20, BW61=4.39,$BD144="Spring"),$BB144*$BF145,
AND(BE61&gt;=10, BE61&lt;=19, BW61&gt;=2.19,BW61&lt;=4.17,$BD144="Spring"),$BB144*($BF145/2))*1.05^J$2,0)</f>
        <v>0</v>
      </c>
      <c r="AT144" s="666" cm="1">
        <f t="array" ref="AT144">_xlfn.IFNA(_xlfn.IFS(AND(BF61=20, BX61=8.77,$BD144="Full year"),$BB144*$BF144,
AND(BF61&gt;=10, BF61&lt;=19, BX61&gt;=4.39,BX61&lt;=8.33,$BD144="Full year"),$BB144*$BF145,
AND(BF61=20,BX61=4.39,$BD144="Fall"),$BB144*$BF145,
AND(BF61&gt;=10, BF61&lt;=19, BX61&gt;=2.19,BX61&lt;=4.17,$BD144="Fall"),$BB144*($BF145/2),
AND(BF61=20, BX61=4.39,$BD144="Spring"),$BB144*$BF145,
AND(BF61&gt;=10, BF61&lt;=19, BX61&gt;=2.19,BX61&lt;=4.17,$BD144="Spring"),$BB144*($BF145/2))*1.05^K$2,0)</f>
        <v>0</v>
      </c>
      <c r="AU144" s="666" cm="1">
        <f t="array" ref="AU144">_xlfn.IFNA(_xlfn.IFS(AND(BG61=20, BY61=8.77,$BD144="Full year"),$BB144*$BF144,
AND(BG61&gt;=10, BG61&lt;=19, BY61&gt;=4.39,BY61&lt;=8.33,$BD144="Full year"),$BB144*$BF145,
AND(BG61=20,BY61=4.39,$BD144="Fall"),$BB144*$BF145,
AND(BG61&gt;=10, BG61&lt;=19, BY61&gt;=2.19,BY61&lt;=4.17,$BD144="Fall"),$BB144*($BF145/2),
AND(BG61=20, BY61=4.39,$BD144="Spring"),$BB144*$BF145,
AND(BG61&gt;=10, BG61&lt;=19, BY61&gt;=2.19,BY61&lt;=4.17,$BD144="Spring"),$BB144*($BF145/2))*1.05^L$2,0)</f>
        <v>0</v>
      </c>
      <c r="AV144" s="666" cm="1">
        <f t="array" ref="AV144">_xlfn.IFNA(_xlfn.IFS(AND(BH61=20, BZ61=8.77,$BD144="Full year"),$BB144*$BF144,
AND(BH61&gt;=10, BH61&lt;=19, BZ61&gt;=4.39,BZ61&lt;=8.33,$BD144="Full year"),$BB144*$BF145,
AND(BH61=20,BZ61=4.39,$BD144="Fall"),$BB144*$BF145,
AND(BH61&gt;=10, BH61&lt;=19, BZ61&gt;=2.19,BZ61&lt;=4.17,$BD144="Fall"),$BB144*($BF145/2),
AND(BH61=20, BZ61=4.39,$BD144="Spring"),$BB144*$BF145,
AND(BH61&gt;=10, BH61&lt;=19, BZ61&gt;=2.19,BZ61&lt;=4.17,$BD144="Spring"),$BB144*($BF145/2))*1.05^M$2,0)</f>
        <v>0</v>
      </c>
      <c r="AW144" s="666" cm="1">
        <f t="array" ref="AW144">_xlfn.IFNA(_xlfn.IFS(AND(BI61=20, CA61=8.77,$BD144="Full year"),$BB144*$BF144,
AND(BI61&gt;=10, BI61&lt;=19, CA61&gt;=4.39,CA61&lt;=8.33,$BD144="Full year"),$BB144*$BF145,
AND(BI61=20,CA61=4.39,$BD144="Fall"),$BB144*$BF145,
AND(BI61&gt;=10, BI61&lt;=19, CA61&gt;=2.19,CA61&lt;=4.17,$BD144="Fall"),$BB144*($BF145/2),
AND(BI61=20, CA61=4.39,$BD144="Spring"),$BB144*$BF145,
AND(BI61&gt;=10, BI61&lt;=19, CA61&gt;=2.19,CA61&lt;=4.17,$BD144="Spring"),$BB144*($BF145/2))*1.05^N$2,0)</f>
        <v>0</v>
      </c>
      <c r="AX144" s="666" cm="1">
        <f t="array" ref="AX144">_xlfn.IFNA(_xlfn.IFS(AND(BJ61=20, CB61=8.77,$BD144="Full year"),$BB144*$BF144,
AND(BJ61&gt;=10, BJ61&lt;=19, CB61&gt;=4.39,CB61&lt;=8.33,$BD144="Full year"),$BB144*$BF145,
AND(BJ61=20,CB61=4.39,$BD144="Fall"),$BB144*$BF145,
AND(BJ61&gt;=10, BJ61&lt;=19, CB61&gt;=2.19,CB61&lt;=4.17,$BD144="Fall"),$BB144*($BF145/2),
AND(BJ61=20, CB61=4.39,$BD144="Spring"),$BB144*$BF145,
AND(BJ61&gt;=10, BJ61&lt;=19, CB61&gt;=2.19,CB61&lt;=4.17,$BD144="Spring"),$BB144*($BF145/2))*1.05^O$2,0)</f>
        <v>0</v>
      </c>
      <c r="AY144" s="666" cm="1">
        <f t="array" ref="AY144">_xlfn.IFNA(_xlfn.IFS(AND(BK61=20, CC61=8.77,$BD144="Full year"),$BB144*$BF144,
AND(BK61&gt;=10, BK61&lt;=19, CC61&gt;=4.39,CC61&lt;=8.33,$BD144="Full year"),$BB144*$BF145,
AND(BK61=20,CC61=4.39,$BD144="Fall"),$BB144*$BF145,
AND(BK61&gt;=10, BK61&lt;=19, CC61&gt;=2.19,CC61&lt;=4.17,$BD144="Fall"),$BB144*($BF145/2),
AND(BK61=20, CC61=4.39,$BD144="Spring"),$BB144*$BF145,
AND(BK61&gt;=10, BK61&lt;=19, CC61&gt;=2.19,CC61&lt;=4.17,$BD144="Spring"),$BB144*($BF145/2))*1.05^P$2,0)</f>
        <v>0</v>
      </c>
      <c r="AZ144" s="673">
        <f>SUM(AP144:AY145)</f>
        <v>0</v>
      </c>
      <c r="BB144" s="49">
        <f t="shared" si="204"/>
        <v>0</v>
      </c>
      <c r="BC144" s="19" t="str">
        <f t="shared" si="205"/>
        <v>GRA #3</v>
      </c>
      <c r="BD144" s="19" t="str">
        <f t="shared" si="206"/>
        <v>Full year</v>
      </c>
      <c r="BE144" s="40" t="s">
        <v>245</v>
      </c>
      <c r="BF144" s="41">
        <f>Rates!C15</f>
        <v>12320</v>
      </c>
      <c r="CD144" s="149"/>
    </row>
    <row r="145" spans="2:82" ht="30" hidden="1" customHeight="1" outlineLevel="1" thickTop="1" thickBot="1" x14ac:dyDescent="0.3">
      <c r="B145" s="49">
        <f t="shared" si="203"/>
        <v>0</v>
      </c>
      <c r="C145" s="157">
        <f t="shared" si="203"/>
        <v>0</v>
      </c>
      <c r="D145" s="19" t="str">
        <f t="shared" si="203"/>
        <v>Summer</v>
      </c>
      <c r="E145" s="42" t="s">
        <v>247</v>
      </c>
      <c r="F145" s="43">
        <f>Rates!C16</f>
        <v>6160</v>
      </c>
      <c r="G145" s="748"/>
      <c r="H145" s="748"/>
      <c r="I145" s="748"/>
      <c r="J145" s="748"/>
      <c r="K145" s="748"/>
      <c r="L145" s="748"/>
      <c r="M145" s="748"/>
      <c r="N145" s="748"/>
      <c r="O145" s="748"/>
      <c r="P145" s="748"/>
      <c r="Q145" s="748"/>
      <c r="R145" s="748"/>
      <c r="S145" s="748"/>
      <c r="T145" s="748"/>
      <c r="U145" s="748"/>
      <c r="V145" s="748"/>
      <c r="W145" s="748"/>
      <c r="X145" s="748"/>
      <c r="Y145" s="748"/>
      <c r="Z145" s="748"/>
      <c r="AA145" s="748"/>
      <c r="AB145" s="748"/>
      <c r="AC145" s="748"/>
      <c r="AD145" s="664"/>
      <c r="AE145" s="664"/>
      <c r="AF145" s="664"/>
      <c r="AG145" s="664"/>
      <c r="AH145" s="664"/>
      <c r="AI145" s="664"/>
      <c r="AJ145" s="664"/>
      <c r="AK145" s="664"/>
      <c r="AL145" s="664"/>
      <c r="AM145" s="664"/>
      <c r="AN145" s="743"/>
      <c r="AO145" s="739"/>
      <c r="AP145" s="676"/>
      <c r="AQ145" s="667"/>
      <c r="AR145" s="667"/>
      <c r="AS145" s="667"/>
      <c r="AT145" s="667"/>
      <c r="AU145" s="667"/>
      <c r="AV145" s="667"/>
      <c r="AW145" s="667"/>
      <c r="AX145" s="667"/>
      <c r="AY145" s="667"/>
      <c r="AZ145" s="674"/>
      <c r="BB145" s="49">
        <f t="shared" si="204"/>
        <v>0</v>
      </c>
      <c r="BC145" s="157">
        <f t="shared" si="205"/>
        <v>0</v>
      </c>
      <c r="BD145" s="19" t="str">
        <f t="shared" si="206"/>
        <v>Summer</v>
      </c>
      <c r="BE145" s="42" t="s">
        <v>247</v>
      </c>
      <c r="BF145" s="41">
        <f>Rates!C16</f>
        <v>6160</v>
      </c>
      <c r="CD145" s="149"/>
    </row>
    <row r="146" spans="2:82" ht="30" hidden="1" customHeight="1" outlineLevel="1" thickTop="1" thickBot="1" x14ac:dyDescent="0.3">
      <c r="B146" s="49">
        <f t="shared" si="203"/>
        <v>0</v>
      </c>
      <c r="C146" s="19" t="str">
        <f t="shared" si="203"/>
        <v>GRA #4</v>
      </c>
      <c r="D146" s="19" t="str">
        <f t="shared" si="203"/>
        <v>Full year</v>
      </c>
      <c r="E146" s="40" t="s">
        <v>245</v>
      </c>
      <c r="F146" s="41">
        <f>Rates!C15</f>
        <v>12320</v>
      </c>
      <c r="G146" s="748"/>
      <c r="H146" s="748"/>
      <c r="I146" s="748"/>
      <c r="J146" s="748"/>
      <c r="K146" s="748"/>
      <c r="L146" s="748"/>
      <c r="M146" s="748"/>
      <c r="N146" s="748"/>
      <c r="O146" s="748"/>
      <c r="P146" s="748"/>
      <c r="Q146" s="748"/>
      <c r="R146" s="748"/>
      <c r="S146" s="748"/>
      <c r="T146" s="748"/>
      <c r="U146" s="748"/>
      <c r="V146" s="748"/>
      <c r="W146" s="748"/>
      <c r="X146" s="748"/>
      <c r="Y146" s="748"/>
      <c r="Z146" s="748"/>
      <c r="AA146" s="748"/>
      <c r="AB146" s="748"/>
      <c r="AC146" s="748"/>
      <c r="AD146" s="663" cm="1">
        <f t="array" ref="AD146">_xlfn.IFNA(_xlfn.IFS(AND(G63=20, S63=8.77,$D146="Full year"),$B146*$F146,
AND(G63&gt;=10, G63&lt;=19, S63&gt;=4.39,S63&lt;=8.33,$D146="Full year"),$B146*$F147,
AND(G63=20,S63=4.39,$D146="Fall"),$B146*$F147,
AND(G63&gt;=10, G63&lt;=19, S63&gt;=2.19,S63&lt;=4.17,$D146="Fall"),$B146*($F147/2),
AND(G63=20, S63=4.39,$D146="Spring"),$B146*$F147,
AND(G63&gt;=10, G63&lt;=19, S63&gt;=2.19,S63&lt;=4.17,$D146="Spring"),$B146*($F147/2))*1.05^G$2,0)</f>
        <v>0</v>
      </c>
      <c r="AE146" s="663" cm="1">
        <f t="array" ref="AE146">_xlfn.IFNA(_xlfn.IFS(AND(H63=20, T63=8.77,$D146="Full year"),$B146*$F146,
AND(H63&gt;=10, H63&lt;=19, T63&gt;=4.39,T63&lt;=8.33,$D146="Full year"),$B146*$F147,
AND(H63=20,T63=4.39,$D146="Fall"),$B146*$F147,
AND(H63&gt;=10, H63&lt;=19, T63&gt;=2.19,T63&lt;=4.17,$D146="Fall"),$B146*($F147/2),
AND(H63=20, T63=4.39,$D146="Spring"),$B146*$F147,
AND(H63&gt;=10, H63&lt;=19, T63&gt;=2.19,T63&lt;=4.17,$D146="Spring"),$B146*($F147/2))*1.05^H$2,0)</f>
        <v>0</v>
      </c>
      <c r="AF146" s="663" cm="1">
        <f t="array" ref="AF146">_xlfn.IFNA(_xlfn.IFS(AND(I63=20, U63=8.77,$D146="Full year"),$B146*$F146,
AND(I63&gt;=10, I63&lt;=19, U63&gt;=4.39,U63&lt;=8.33,$D146="Full year"),$B146*$F147,
AND(I63=20,U63=4.39,$D146="Fall"),$B146*$F147,
AND(I63&gt;=10, I63&lt;=19, U63&gt;=2.19,U63&lt;=4.17,$D146="Fall"),$B146*($F147/2),
AND(I63=20, U63=4.39,$D146="Spring"),$B146*$F147,
AND(I63&gt;=10, I63&lt;=19, U63&gt;=2.19,U63&lt;=4.17,$D146="Spring"),$B146*($F147/2))*1.05^I$2,0)</f>
        <v>0</v>
      </c>
      <c r="AG146" s="663" cm="1">
        <f t="array" ref="AG146">_xlfn.IFNA(_xlfn.IFS(AND(J63=20, V63=8.77,$D146="Full year"),$B146*$F146,
AND(J63&gt;=10, J63&lt;=19, V63&gt;=4.39,V63&lt;=8.33,$D146="Full year"),$B146*$F147,
AND(J63=20,V63=4.39,$D146="Fall"),$B146*$F147,
AND(J63&gt;=10, J63&lt;=19, V63&gt;=2.19,V63&lt;=4.17,$D146="Fall"),$B146*($F147/2),
AND(J63=20, V63=4.39,$D146="Spring"),$B146*$F147,
AND(J63&gt;=10, J63&lt;=19, V63&gt;=2.19,V63&lt;=4.17,$D146="Spring"),$B146*($F147/2))*1.05^J$2,0)</f>
        <v>0</v>
      </c>
      <c r="AH146" s="663" cm="1">
        <f t="array" ref="AH146">_xlfn.IFNA(_xlfn.IFS(AND(K63=20, W63=8.77,$D146="Full year"),$B146*$F146,
AND(K63&gt;=10, K63&lt;=19, W63&gt;=4.39,W63&lt;=8.33,$D146="Full year"),$B146*$F147,
AND(K63=20,W63=4.39,$D146="Fall"),$B146*$F147,
AND(K63&gt;=10, K63&lt;=19, W63&gt;=2.19,W63&lt;=4.17,$D146="Fall"),$B146*($F147/2),
AND(K63=20, W63=4.39,$D146="Spring"),$B146*$F147,
AND(K63&gt;=10, K63&lt;=19, W63&gt;=2.19,W63&lt;=4.17,$D146="Spring"),$B146*($F147/2))*1.05^K$2,0)</f>
        <v>0</v>
      </c>
      <c r="AI146" s="663" cm="1">
        <f t="array" ref="AI146">_xlfn.IFNA(_xlfn.IFS(AND(L63=20, X63=8.77,$D146="Full year"),$B146*$F146,
AND(L63&gt;=10, L63&lt;=19, X63&gt;=4.39,X63&lt;=8.33,$D146="Full year"),$B146*$F147,
AND(L63=20,X63=4.39,$D146="Fall"),$B146*$F147,
AND(L63&gt;=10, L63&lt;=19, X63&gt;=2.19,X63&lt;=4.17,$D146="Fall"),$B146*($F147/2),
AND(L63=20, X63=4.39,$D146="Spring"),$B146*$F147,
AND(L63&gt;=10, L63&lt;=19, X63&gt;=2.19,X63&lt;=4.17,$D146="Spring"),$B146*($F147/2))*1.05^L$2,0)</f>
        <v>0</v>
      </c>
      <c r="AJ146" s="663" cm="1">
        <f t="array" ref="AJ146">_xlfn.IFNA(_xlfn.IFS(AND(M63=20, Y63=8.77,$D146="Full year"),$B146*$F146,
AND(M63&gt;=10, M63&lt;=19, Y63&gt;=4.39,Y63&lt;=8.33,$D146="Full year"),$B146*$F147,
AND(M63=20,Y63=4.39,$D146="Fall"),$B146*$F147,
AND(M63&gt;=10, M63&lt;=19, Y63&gt;=2.19,Y63&lt;=4.17,$D146="Fall"),$B146*($F147/2),
AND(M63=20, Y63=4.39,$D146="Spring"),$B146*$F147,
AND(M63&gt;=10, M63&lt;=19, Y63&gt;=2.19,Y63&lt;=4.17,$D146="Spring"),$B146*($F147/2))*1.05^M$2,0)</f>
        <v>0</v>
      </c>
      <c r="AK146" s="663" cm="1">
        <f t="array" ref="AK146">_xlfn.IFNA(_xlfn.IFS(AND(N63=20, Z63=8.77,$D146="Full year"),$B146*$F146,
AND(N63&gt;=10, N63&lt;=19, Z63&gt;=4.39,Z63&lt;=8.33,$D146="Full year"),$B146*$F147,
AND(N63=20,Z63=4.39,$D146="Fall"),$B146*$F147,
AND(N63&gt;=10, N63&lt;=19, Z63&gt;=2.19,Z63&lt;=4.17,$D146="Fall"),$B146*($F147/2),
AND(N63=20, Z63=4.39,$D146="Spring"),$B146*$F147,
AND(N63&gt;=10, N63&lt;=19, Z63&gt;=2.19,Z63&lt;=4.17,$D146="Spring"),$B146*($F147/2))*1.05^N$2,0)</f>
        <v>0</v>
      </c>
      <c r="AL146" s="663" cm="1">
        <f t="array" ref="AL146">_xlfn.IFNA(_xlfn.IFS(AND(O63=20, AA63=8.77,$D146="Full year"),$B146*$F146,
AND(O63&gt;=10, O63&lt;=19, AA63&gt;=4.39,AA63&lt;=8.33,$D146="Full year"),$B146*$F147,
AND(O63=20,AA63=4.39,$D146="Fall"),$B146*$F147,
AND(O63&gt;=10, O63&lt;=19, AA63&gt;=2.19,AA63&lt;=4.17,$D146="Fall"),$B146*($F147/2),
AND(O63=20, AA63=4.39,$D146="Spring"),$B146*$F147,
AND(O63&gt;=10, O63&lt;=19, AA63&gt;=2.19,AA63&lt;=4.17,$D146="Spring"),$B146*($F147/2))*1.05^O$2,0)</f>
        <v>0</v>
      </c>
      <c r="AM146" s="663" cm="1">
        <f t="array" ref="AM146">_xlfn.IFNA(_xlfn.IFS(AND(P63=20, AB63=8.77,$D146="Full year"),$B146*$F146,
AND(P63&gt;=10, P63&lt;=19, AB63&gt;=4.39,AB63&lt;=8.33,$D146="Full year"),$B146*$F147,
AND(P63=20,AB63=4.39,$D146="Fall"),$B146*$F147,
AND(P63&gt;=10, P63&lt;=19, AB63&gt;=2.19,AB63&lt;=4.17,$D146="Fall"),$B146*($F147/2),
AND(P63=20, AB63=4.39,$D146="Spring"),$B146*$F147,
AND(P63&gt;=10, P63&lt;=19, AB63&gt;=2.19,AB63&lt;=4.17,$D146="Spring"),$B146*($F147/2))*1.05^P$2,0)</f>
        <v>0</v>
      </c>
      <c r="AN146" s="745">
        <f>SUM(AD146:AM147)</f>
        <v>0</v>
      </c>
      <c r="AO146" s="739">
        <f>AN146+AZ146</f>
        <v>0</v>
      </c>
      <c r="AP146" s="675" cm="1">
        <f t="array" ref="AP146">_xlfn.IFNA(_xlfn.IFS(AND(BB63=20, BT63=8.77,$BD146="Full year"),$BB146*$BF146,
AND(BB63&gt;=10, BB63&lt;=19, BT63&gt;=4.39,BT63&lt;=8.33,$BD146="Full year"),$BB146*$BF147,
AND(BB63=20,BT63=4.39,$BD146="Fall"),$BB146*$BF147,
AND(BB63&gt;=10, BB63&lt;=19, BT63&gt;=2.19,BT63&lt;=4.17,$BD146="Fall"),$BB146*($BF147/2),
AND(BB63=20, BT63=4.39,$BD146="Spring"),$BB146*$BF147,
AND(BB63&gt;=10, BB63&lt;=19, BT63&gt;=2.19,BT63&lt;=4.17,$BD146="Spring"),$BB146*($BF147/2))*1.05^G$2,0)</f>
        <v>0</v>
      </c>
      <c r="AQ146" s="666" cm="1">
        <f t="array" ref="AQ146">_xlfn.IFNA(_xlfn.IFS(AND(BC63=20, BU63=8.77,$BD146="Full year"),$BB146*$BF146,
AND(BC63&gt;=10, BC63&lt;=19, BU63&gt;=4.39,BU63&lt;=8.33,$BD146="Full year"),$BB146*$BF147,
AND(BC63=20,BU63=4.39,$BD146="Fall"),$BB146*$BF147,
AND(BC63&gt;=10, BC63&lt;=19, BU63&gt;=2.19,BU63&lt;=4.17,$BD146="Fall"),$BB146*($BF147/2),
AND(BC63=20, BU63=4.39,$BD146="Spring"),$BB146*$BF147,
AND(BC63&gt;=10, BC63&lt;=19, BU63&gt;=2.19,BU63&lt;=4.17,$BD146="Spring"),$BB146*($BF147/2))*1.05^H$2,0)</f>
        <v>0</v>
      </c>
      <c r="AR146" s="666" cm="1">
        <f t="array" ref="AR146">_xlfn.IFNA(_xlfn.IFS(AND(BD63=20, BV63=8.77,$BD146="Full year"),$BB146*$BF146,
AND(BD63&gt;=10, BD63&lt;=19, BV63&gt;=4.39,BV63&lt;=8.33,$BD146="Full year"),$BB146*$BF147,
AND(BD63=20,BV63=4.39,$BD146="Fall"),$BB146*$BF147,
AND(BD63&gt;=10, BD63&lt;=19, BV63&gt;=2.19,BV63&lt;=4.17,$BD146="Fall"),$BB146*($BF147/2),
AND(BD63=20, BV63=4.39,$BD146="Spring"),$BB146*$BF147,
AND(BD63&gt;=10, BD63&lt;=19, BV63&gt;=2.19,BV63&lt;=4.17,$BD146="Spring"),$BB146*($BF147/2))*1.05^I$2,0)</f>
        <v>0</v>
      </c>
      <c r="AS146" s="666" cm="1">
        <f t="array" ref="AS146">_xlfn.IFNA(_xlfn.IFS(AND(BE63=20, BW63=8.77,$BD146="Full year"),$BB146*$BF146,
AND(BE63&gt;=10, BE63&lt;=19, BW63&gt;=4.39,BW63&lt;=8.33,$BD146="Full year"),$BB146*$BF147,
AND(BE63=20,BW63=4.39,$BD146="Fall"),$BB146*$BF147,
AND(BE63&gt;=10, BE63&lt;=19, BW63&gt;=2.19,BW63&lt;=4.17,$BD146="Fall"),$BB146*($BF147/2),
AND(BE63=20, BW63=4.39,$BD146="Spring"),$BB146*$BF147,
AND(BE63&gt;=10, BE63&lt;=19, BW63&gt;=2.19,BW63&lt;=4.17,$BD146="Spring"),$BB146*($BF147/2))*1.05^J$2,0)</f>
        <v>0</v>
      </c>
      <c r="AT146" s="666" cm="1">
        <f t="array" ref="AT146">_xlfn.IFNA(_xlfn.IFS(AND(BF63=20, BX63=8.77,$BD146="Full year"),$BB146*$BF146,
AND(BF63&gt;=10, BF63&lt;=19, BX63&gt;=4.39,BX63&lt;=8.33,$BD146="Full year"),$BB146*$BF147,
AND(BF63=20,BX63=4.39,$BD146="Fall"),$BB146*$BF147,
AND(BF63&gt;=10, BF63&lt;=19, BX63&gt;=2.19,BX63&lt;=4.17,$BD146="Fall"),$BB146*($BF147/2),
AND(BF63=20, BX63=4.39,$BD146="Spring"),$BB146*$BF147,
AND(BF63&gt;=10, BF63&lt;=19, BX63&gt;=2.19,BX63&lt;=4.17,$BD146="Spring"),$BB146*($BF147/2))*1.05^K$2,0)</f>
        <v>0</v>
      </c>
      <c r="AU146" s="666" cm="1">
        <f t="array" ref="AU146">_xlfn.IFNA(_xlfn.IFS(AND(BG63=20, BY63=8.77,$BD146="Full year"),$BB146*$BF146,
AND(BG63&gt;=10, BG63&lt;=19, BY63&gt;=4.39,BY63&lt;=8.33,$BD146="Full year"),$BB146*$BF147,
AND(BG63=20,BY63=4.39,$BD146="Fall"),$BB146*$BF147,
AND(BG63&gt;=10, BG63&lt;=19, BY63&gt;=2.19,BY63&lt;=4.17,$BD146="Fall"),$BB146*($BF147/2),
AND(BG63=20, BY63=4.39,$BD146="Spring"),$BB146*$BF147,
AND(BG63&gt;=10, BG63&lt;=19, BY63&gt;=2.19,BY63&lt;=4.17,$BD146="Spring"),$BB146*($BF147/2))*1.05^L$2,0)</f>
        <v>0</v>
      </c>
      <c r="AV146" s="666" cm="1">
        <f t="array" ref="AV146">_xlfn.IFNA(_xlfn.IFS(AND(BH63=20, BZ63=8.77,$BD146="Full year"),$BB146*$BF146,
AND(BH63&gt;=10, BH63&lt;=19, BZ63&gt;=4.39,BZ63&lt;=8.33,$BD146="Full year"),$BB146*$BF147,
AND(BH63=20,BZ63=4.39,$BD146="Fall"),$BB146*$BF147,
AND(BH63&gt;=10, BH63&lt;=19, BZ63&gt;=2.19,BZ63&lt;=4.17,$BD146="Fall"),$BB146*($BF147/2),
AND(BH63=20, BZ63=4.39,$BD146="Spring"),$BB146*$BF147,
AND(BH63&gt;=10, BH63&lt;=19, BZ63&gt;=2.19,BZ63&lt;=4.17,$BD146="Spring"),$BB146*($BF147/2))*1.05^M$2,0)</f>
        <v>0</v>
      </c>
      <c r="AW146" s="666" cm="1">
        <f t="array" ref="AW146">_xlfn.IFNA(_xlfn.IFS(AND(BI63=20, CA63=8.77,$BD146="Full year"),$BB146*$BF146,
AND(BI63&gt;=10, BI63&lt;=19, CA63&gt;=4.39,CA63&lt;=8.33,$BD146="Full year"),$BB146*$BF147,
AND(BI63=20,CA63=4.39,$BD146="Fall"),$BB146*$BF147,
AND(BI63&gt;=10, BI63&lt;=19, CA63&gt;=2.19,CA63&lt;=4.17,$BD146="Fall"),$BB146*($BF147/2),
AND(BI63=20, CA63=4.39,$BD146="Spring"),$BB146*$BF147,
AND(BI63&gt;=10, BI63&lt;=19, CA63&gt;=2.19,CA63&lt;=4.17,$BD146="Spring"),$BB146*($BF147/2))*1.05^N$2,0)</f>
        <v>0</v>
      </c>
      <c r="AX146" s="666" cm="1">
        <f t="array" ref="AX146">_xlfn.IFNA(_xlfn.IFS(AND(BJ63=20, CB63=8.77,$BD146="Full year"),$BB146*$BF146,
AND(BJ63&gt;=10, BJ63&lt;=19, CB63&gt;=4.39,CB63&lt;=8.33,$BD146="Full year"),$BB146*$BF147,
AND(BJ63=20,CB63=4.39,$BD146="Fall"),$BB146*$BF147,
AND(BJ63&gt;=10, BJ63&lt;=19, CB63&gt;=2.19,CB63&lt;=4.17,$BD146="Fall"),$BB146*($BF147/2),
AND(BJ63=20, CB63=4.39,$BD146="Spring"),$BB146*$BF147,
AND(BJ63&gt;=10, BJ63&lt;=19, CB63&gt;=2.19,CB63&lt;=4.17,$BD146="Spring"),$BB146*($BF147/2))*1.05^O$2,0)</f>
        <v>0</v>
      </c>
      <c r="AY146" s="666" cm="1">
        <f t="array" ref="AY146">_xlfn.IFNA(_xlfn.IFS(AND(BK63=20, CC63=8.77,$BD146="Full year"),$BB146*$BF146,
AND(BK63&gt;=10, BK63&lt;=19, CC63&gt;=4.39,CC63&lt;=8.33,$BD146="Full year"),$BB146*$BF147,
AND(BK63=20,CC63=4.39,$BD146="Fall"),$BB146*$BF147,
AND(BK63&gt;=10, BK63&lt;=19, CC63&gt;=2.19,CC63&lt;=4.17,$BD146="Fall"),$BB146*($BF147/2),
AND(BK63=20, CC63=4.39,$BD146="Spring"),$BB146*$BF147,
AND(BK63&gt;=10, BK63&lt;=19, CC63&gt;=2.19,CC63&lt;=4.17,$BD146="Spring"),$BB146*($BF147/2))*1.05^P$2,0)</f>
        <v>0</v>
      </c>
      <c r="AZ146" s="673">
        <f>SUM(AP146:AY147)</f>
        <v>0</v>
      </c>
      <c r="BB146" s="49">
        <f t="shared" si="204"/>
        <v>0</v>
      </c>
      <c r="BC146" s="19" t="str">
        <f t="shared" si="205"/>
        <v>GRA #4</v>
      </c>
      <c r="BD146" s="19" t="str">
        <f t="shared" si="206"/>
        <v>Full year</v>
      </c>
      <c r="BE146" s="40" t="s">
        <v>245</v>
      </c>
      <c r="BF146" s="207">
        <f>Rates!C15</f>
        <v>12320</v>
      </c>
      <c r="CD146" s="149"/>
    </row>
    <row r="147" spans="2:82" ht="30" hidden="1" customHeight="1" outlineLevel="1" thickTop="1" thickBot="1" x14ac:dyDescent="0.3">
      <c r="B147" s="49">
        <f t="shared" si="203"/>
        <v>0</v>
      </c>
      <c r="C147" s="157">
        <f t="shared" si="203"/>
        <v>0</v>
      </c>
      <c r="D147" s="19" t="str">
        <f t="shared" si="203"/>
        <v>Summer</v>
      </c>
      <c r="E147" s="42" t="s">
        <v>246</v>
      </c>
      <c r="F147" s="43">
        <f>Rates!C16</f>
        <v>6160</v>
      </c>
      <c r="G147" s="748"/>
      <c r="H147" s="748"/>
      <c r="I147" s="748"/>
      <c r="J147" s="748"/>
      <c r="K147" s="748"/>
      <c r="L147" s="748"/>
      <c r="M147" s="748"/>
      <c r="N147" s="748"/>
      <c r="O147" s="748"/>
      <c r="P147" s="748"/>
      <c r="Q147" s="748"/>
      <c r="R147" s="748"/>
      <c r="S147" s="748"/>
      <c r="T147" s="748"/>
      <c r="U147" s="748"/>
      <c r="V147" s="748"/>
      <c r="W147" s="748"/>
      <c r="X147" s="748"/>
      <c r="Y147" s="748"/>
      <c r="Z147" s="748"/>
      <c r="AA147" s="748"/>
      <c r="AB147" s="748"/>
      <c r="AC147" s="748"/>
      <c r="AD147" s="664"/>
      <c r="AE147" s="664"/>
      <c r="AF147" s="664"/>
      <c r="AG147" s="664"/>
      <c r="AH147" s="664"/>
      <c r="AI147" s="664"/>
      <c r="AJ147" s="664"/>
      <c r="AK147" s="664"/>
      <c r="AL147" s="664"/>
      <c r="AM147" s="664"/>
      <c r="AN147" s="743"/>
      <c r="AO147" s="739"/>
      <c r="AP147" s="676"/>
      <c r="AQ147" s="667"/>
      <c r="AR147" s="667"/>
      <c r="AS147" s="667"/>
      <c r="AT147" s="667"/>
      <c r="AU147" s="667"/>
      <c r="AV147" s="667"/>
      <c r="AW147" s="667"/>
      <c r="AX147" s="667"/>
      <c r="AY147" s="667"/>
      <c r="AZ147" s="674"/>
      <c r="BB147" s="49">
        <f t="shared" si="204"/>
        <v>0</v>
      </c>
      <c r="BC147" s="157">
        <f t="shared" si="205"/>
        <v>0</v>
      </c>
      <c r="BD147" s="19" t="str">
        <f t="shared" si="206"/>
        <v>Summer</v>
      </c>
      <c r="BE147" s="42" t="s">
        <v>246</v>
      </c>
      <c r="BF147" s="41">
        <f>Rates!C16</f>
        <v>6160</v>
      </c>
      <c r="CD147" s="149"/>
    </row>
    <row r="148" spans="2:82" ht="30" hidden="1" customHeight="1" outlineLevel="1" thickTop="1" thickBot="1" x14ac:dyDescent="0.3">
      <c r="B148" s="49">
        <f t="shared" si="203"/>
        <v>0</v>
      </c>
      <c r="C148" s="19" t="str">
        <f t="shared" si="203"/>
        <v>GRA #5</v>
      </c>
      <c r="D148" s="19" t="str">
        <f t="shared" si="203"/>
        <v>Full year</v>
      </c>
      <c r="E148" s="40" t="s">
        <v>245</v>
      </c>
      <c r="F148" s="41">
        <f>Rates!C15</f>
        <v>12320</v>
      </c>
      <c r="G148" s="748"/>
      <c r="H148" s="748"/>
      <c r="I148" s="748"/>
      <c r="J148" s="748"/>
      <c r="K148" s="748"/>
      <c r="L148" s="748"/>
      <c r="M148" s="748"/>
      <c r="N148" s="748"/>
      <c r="O148" s="748"/>
      <c r="P148" s="748"/>
      <c r="Q148" s="748"/>
      <c r="R148" s="748"/>
      <c r="S148" s="748"/>
      <c r="T148" s="748"/>
      <c r="U148" s="748"/>
      <c r="V148" s="748"/>
      <c r="W148" s="748"/>
      <c r="X148" s="748"/>
      <c r="Y148" s="748"/>
      <c r="Z148" s="748"/>
      <c r="AA148" s="748"/>
      <c r="AB148" s="748"/>
      <c r="AC148" s="748"/>
      <c r="AD148" s="663" cm="1">
        <f t="array" ref="AD148">_xlfn.IFNA(_xlfn.IFS(AND(G65=20, S65=8.77,$D148="Full year"),$B148*$F148,
AND(G65&gt;=10, G65&lt;=19, S65&gt;=4.39,S65&lt;=8.33,$D148="Full year"),$B148*$F149,
AND(G65=20,S65=4.39,$D148="Fall"),$B148*$F149,
AND(G65&gt;=10, G65&lt;=19, S65&gt;=2.19,S65&lt;=4.17,$D148="Fall"),$B148*($F149/2),
AND(G65=20, S65=4.39,$D148="Spring"),$B148*$F149,
AND(G65&gt;=10, G65&lt;=19, S65&gt;=2.19,S65&lt;=4.17,$D148="Spring"),$B148*($F149/2))*1.05^G$2,0)</f>
        <v>0</v>
      </c>
      <c r="AE148" s="663" cm="1">
        <f t="array" ref="AE148">_xlfn.IFNA(_xlfn.IFS(AND(H65=20, T65=8.77,$D148="Full year"),$B148*$F148,
AND(H65&gt;=10, H65&lt;=19, T65&gt;=4.39,T65&lt;=8.33,$D148="Full year"),$B148*$F149,
AND(H65=20,T65=4.39,$D148="Fall"),$B148*$F149,
AND(H65&gt;=10, H65&lt;=19, T65&gt;=2.19,T65&lt;=4.17,$D148="Fall"),$B148*($F149/2),
AND(H65=20, T65=4.39,$D148="Spring"),$B148*$F149,
AND(H65&gt;=10, H65&lt;=19, T65&gt;=2.19,T65&lt;=4.17,$D148="Spring"),$B148*($F149/2))*1.05^H$2,0)</f>
        <v>0</v>
      </c>
      <c r="AF148" s="663" cm="1">
        <f t="array" ref="AF148">_xlfn.IFNA(_xlfn.IFS(AND(I65=20, U65=8.77,$D148="Full year"),$B148*$F148,
AND(I65&gt;=10, I65&lt;=19, U65&gt;=4.39,U65&lt;=8.33,$D148="Full year"),$B148*$F149,
AND(I65=20,U65=4.39,$D148="Fall"),$B148*$F149,
AND(I65&gt;=10, I65&lt;=19, U65&gt;=2.19,U65&lt;=4.17,$D148="Fall"),$B148*($F149/2),
AND(I65=20, U65=4.39,$D148="Spring"),$B148*$F149,
AND(I65&gt;=10, I65&lt;=19, U65&gt;=2.19,U65&lt;=4.17,$D148="Spring"),$B148*($F149/2))*1.05^I$2,0)</f>
        <v>0</v>
      </c>
      <c r="AG148" s="663" cm="1">
        <f t="array" ref="AG148">_xlfn.IFNA(_xlfn.IFS(AND(J65=20, V65=8.77,$D148="Full year"),$B148*$F148,
AND(J65&gt;=10, J65&lt;=19, V65&gt;=4.39,V65&lt;=8.33,$D148="Full year"),$B148*$F149,
AND(J65=20,V65=4.39,$D148="Fall"),$B148*$F149,
AND(J65&gt;=10, J65&lt;=19, V65&gt;=2.19,V65&lt;=4.17,$D148="Fall"),$B148*($F149/2),
AND(J65=20, V65=4.39,$D148="Spring"),$B148*$F149,
AND(J65&gt;=10, J65&lt;=19, V65&gt;=2.19,V65&lt;=4.17,$D148="Spring"),$B148*($F149/2))*1.05^J$2,0)</f>
        <v>0</v>
      </c>
      <c r="AH148" s="663" cm="1">
        <f t="array" ref="AH148">_xlfn.IFNA(_xlfn.IFS(AND(K65=20, W65=8.77,$D148="Full year"),$B148*$F148,
AND(K65&gt;=10, K65&lt;=19, W65&gt;=4.39,W65&lt;=8.33,$D148="Full year"),$B148*$F149,
AND(K65=20,W65=4.39,$D148="Fall"),$B148*$F149,
AND(K65&gt;=10, K65&lt;=19, W65&gt;=2.19,W65&lt;=4.17,$D148="Fall"),$B148*($F149/2),
AND(K65=20, W65=4.39,$D148="Spring"),$B148*$F149,
AND(K65&gt;=10, K65&lt;=19, W65&gt;=2.19,W65&lt;=4.17,$D148="Spring"),$B148*($F149/2))*1.05^K$2,0)</f>
        <v>0</v>
      </c>
      <c r="AI148" s="663" cm="1">
        <f t="array" ref="AI148">_xlfn.IFNA(_xlfn.IFS(AND(L65=20, X65=8.77,$D148="Full year"),$B148*$F148,
AND(L65&gt;=10, L65&lt;=19, X65&gt;=4.39,X65&lt;=8.33,$D148="Full year"),$B148*$F149,
AND(L65=20,X65=4.39,$D148="Fall"),$B148*$F149,
AND(L65&gt;=10, L65&lt;=19, X65&gt;=2.19,X65&lt;=4.17,$D148="Fall"),$B148*($F149/2),
AND(L65=20, X65=4.39,$D148="Spring"),$B148*$F149,
AND(L65&gt;=10, L65&lt;=19, X65&gt;=2.19,X65&lt;=4.17,$D148="Spring"),$B148*($F149/2))*1.05^L$2,0)</f>
        <v>0</v>
      </c>
      <c r="AJ148" s="663" cm="1">
        <f t="array" ref="AJ148">_xlfn.IFNA(_xlfn.IFS(AND(M65=20, Y65=8.77,$D148="Full year"),$B148*$F148,
AND(M65&gt;=10, M65&lt;=19, Y65&gt;=4.39,Y65&lt;=8.33,$D148="Full year"),$B148*$F149,
AND(M65=20,Y65=4.39,$D148="Fall"),$B148*$F149,
AND(M65&gt;=10, M65&lt;=19, Y65&gt;=2.19,Y65&lt;=4.17,$D148="Fall"),$B148*($F149/2),
AND(M65=20, Y65=4.39,$D148="Spring"),$B148*$F149,
AND(M65&gt;=10, M65&lt;=19, Y65&gt;=2.19,Y65&lt;=4.17,$D148="Spring"),$B148*($F149/2))*1.05^M$2,0)</f>
        <v>0</v>
      </c>
      <c r="AK148" s="663" cm="1">
        <f t="array" ref="AK148">_xlfn.IFNA(_xlfn.IFS(AND(N65=20, Z65=8.77,$D148="Full year"),$B148*$F148,
AND(N65&gt;=10, N65&lt;=19, Z65&gt;=4.39,Z65&lt;=8.33,$D148="Full year"),$B148*$F149,
AND(N65=20,Z65=4.39,$D148="Fall"),$B148*$F149,
AND(N65&gt;=10, N65&lt;=19, Z65&gt;=2.19,Z65&lt;=4.17,$D148="Fall"),$B148*($F149/2),
AND(N65=20, Z65=4.39,$D148="Spring"),$B148*$F149,
AND(N65&gt;=10, N65&lt;=19, Z65&gt;=2.19,Z65&lt;=4.17,$D148="Spring"),$B148*($F149/2))*1.05^N$2,0)</f>
        <v>0</v>
      </c>
      <c r="AL148" s="663" cm="1">
        <f t="array" ref="AL148">_xlfn.IFNA(_xlfn.IFS(AND(O65=20, AA65=8.77,$D148="Full year"),$B148*$F148,
AND(O65&gt;=10, O65&lt;=19, AA65&gt;=4.39,AA65&lt;=8.33,$D148="Full year"),$B148*$F149,
AND(O65=20,AA65=4.39,$D148="Fall"),$B148*$F149,
AND(O65&gt;=10, O65&lt;=19, AA65&gt;=2.19,AA65&lt;=4.17,$D148="Fall"),$B148*($F149/2),
AND(O65=20, AA65=4.39,$D148="Spring"),$B148*$F149,
AND(O65&gt;=10, O65&lt;=19, AA65&gt;=2.19,AA65&lt;=4.17,$D148="Spring"),$B148*($F149/2))*1.05^O$2,0)</f>
        <v>0</v>
      </c>
      <c r="AM148" s="663" cm="1">
        <f t="array" ref="AM148">_xlfn.IFNA(_xlfn.IFS(AND(P65=20, AB65=8.77,$D148="Full year"),$B148*$F148,
AND(P65&gt;=10, P65&lt;=19, AB65&gt;=4.39,AB65&lt;=8.33,$D148="Full year"),$B148*$F149,
AND(P65=20,AB65=4.39,$D148="Fall"),$B148*$F149,
AND(P65&gt;=10, P65&lt;=19, AB65&gt;=2.19,AB65&lt;=4.17,$D148="Fall"),$B148*($F149/2),
AND(P65=20, AB65=4.39,$D148="Spring"),$B148*$F149,
AND(P65&gt;=10, P65&lt;=19, AB65&gt;=2.19,AB65&lt;=4.17,$D148="Spring"),$B148*($F149/2))*1.05^P$2,0)</f>
        <v>0</v>
      </c>
      <c r="AN148" s="745">
        <f>SUM(AD148:AM149)</f>
        <v>0</v>
      </c>
      <c r="AO148" s="739">
        <f>AN148+AZ148</f>
        <v>0</v>
      </c>
      <c r="AP148" s="675" cm="1">
        <f t="array" ref="AP148">_xlfn.IFNA(_xlfn.IFS(AND(BB65=20, BT65=8.77,$BD148="Full year"),$BB148*$BF148,
AND(BB65&gt;=10, BB65&lt;=19, BT65&gt;=4.39,BT65&lt;=8.33,$BD148="Full year"),$BB148*$BF149,
AND(BB65=20,BT65=4.39,$BD148="Fall"),$BB148*$BF149,
AND(BB65&gt;=10, BB65&lt;=19, BT65&gt;=2.19,BT65&lt;=4.17,$BD148="Fall"),$BB148*($BF149/2),
AND(BB65=20, BT65=4.39,$BD148="Spring"),$BB148*$BF149,
AND(BB65&gt;=10, BB65&lt;=19, BT65&gt;=2.19,BT65&lt;=4.17,$BD148="Spring"),$BB148*($BF149/2))*1.05^G$2,0)</f>
        <v>0</v>
      </c>
      <c r="AQ148" s="666" cm="1">
        <f t="array" ref="AQ148">_xlfn.IFNA(_xlfn.IFS(AND(BC65=20, BU65=8.77,$BD148="Full year"),$BB148*$BF148,
AND(BC65&gt;=10, BC65&lt;=19, BU65&gt;=4.39,BU65&lt;=8.33,$BD148="Full year"),$BB148*$BF149,
AND(BC65=20,BU65=4.39,$BD148="Fall"),$BB148*$BF149,
AND(BC65&gt;=10, BC65&lt;=19, BU65&gt;=2.19,BU65&lt;=4.17,$BD148="Fall"),$BB148*($BF149/2),
AND(BC65=20, BU65=4.39,$BD148="Spring"),$BB148*$BF149,
AND(BC65&gt;=10, BC65&lt;=19, BU65&gt;=2.19,BU65&lt;=4.17,$BD148="Spring"),$BB148*($BF149/2))*1.05^H$2,0)</f>
        <v>0</v>
      </c>
      <c r="AR148" s="666" cm="1">
        <f t="array" ref="AR148">_xlfn.IFNA(_xlfn.IFS(AND(BD65=20, BV65=8.77,$BD148="Full year"),$BB148*$BF148,
AND(BD65&gt;=10, BD65&lt;=19, BV65&gt;=4.39,BV65&lt;=8.33,$BD148="Full year"),$BB148*$BF149,
AND(BD65=20,BV65=4.39,$BD148="Fall"),$BB148*$BF149,
AND(BD65&gt;=10, BD65&lt;=19, BV65&gt;=2.19,BV65&lt;=4.17,$BD148="Fall"),$BB148*($BF149/2),
AND(BD65=20, BV65=4.39,$BD148="Spring"),$BB148*$BF149,
AND(BD65&gt;=10, BD65&lt;=19, BV65&gt;=2.19,BV65&lt;=4.17,$BD148="Spring"),$BB148*($BF149/2))*1.05^I$2,0)</f>
        <v>0</v>
      </c>
      <c r="AS148" s="666" cm="1">
        <f t="array" ref="AS148">_xlfn.IFNA(_xlfn.IFS(AND(BE65=20, BW65=8.77,$BD148="Full year"),$BB148*$BF148,
AND(BE65&gt;=10, BE65&lt;=19, BW65&gt;=4.39,BW65&lt;=8.33,$BD148="Full year"),$BB148*$BF149,
AND(BE65=20,BW65=4.39,$BD148="Fall"),$BB148*$BF149,
AND(BE65&gt;=10, BE65&lt;=19, BW65&gt;=2.19,BW65&lt;=4.17,$BD148="Fall"),$BB148*($BF149/2),
AND(BE65=20, BW65=4.39,$BD148="Spring"),$BB148*$BF149,
AND(BE65&gt;=10, BE65&lt;=19, BW65&gt;=2.19,BW65&lt;=4.17,$BD148="Spring"),$BB148*($BF149/2))*1.05^J$2,0)</f>
        <v>0</v>
      </c>
      <c r="AT148" s="666" cm="1">
        <f t="array" ref="AT148">_xlfn.IFNA(_xlfn.IFS(AND(BF65=20, BX65=8.77,$BD148="Full year"),$BB148*$BF148,
AND(BF65&gt;=10, BF65&lt;=19, BX65&gt;=4.39,BX65&lt;=8.33,$BD148="Full year"),$BB148*$BF149,
AND(BF65=20,BX65=4.39,$BD148="Fall"),$BB148*$BF149,
AND(BF65&gt;=10, BF65&lt;=19, BX65&gt;=2.19,BX65&lt;=4.17,$BD148="Fall"),$BB148*($BF149/2),
AND(BF65=20, BX65=4.39,$BD148="Spring"),$BB148*$BF149,
AND(BF65&gt;=10, BF65&lt;=19, BX65&gt;=2.19,BX65&lt;=4.17,$BD148="Spring"),$BB148*($BF149/2))*1.05^K$2,0)</f>
        <v>0</v>
      </c>
      <c r="AU148" s="666" cm="1">
        <f t="array" ref="AU148">_xlfn.IFNA(_xlfn.IFS(AND(BG65=20, BY65=8.77,$BD148="Full year"),$BB148*$BF148,
AND(BG65&gt;=10, BG65&lt;=19, BY65&gt;=4.39,BY65&lt;=8.33,$BD148="Full year"),$BB148*$BF149,
AND(BG65=20,BY65=4.39,$BD148="Fall"),$BB148*$BF149,
AND(BG65&gt;=10, BG65&lt;=19, BY65&gt;=2.19,BY65&lt;=4.17,$BD148="Fall"),$BB148*($BF149/2),
AND(BG65=20, BY65=4.39,$BD148="Spring"),$BB148*$BF149,
AND(BG65&gt;=10, BG65&lt;=19, BY65&gt;=2.19,BY65&lt;=4.17,$BD148="Spring"),$BB148*($BF149/2))*1.05^L$2,0)</f>
        <v>0</v>
      </c>
      <c r="AV148" s="666" cm="1">
        <f t="array" ref="AV148">_xlfn.IFNA(_xlfn.IFS(AND(BH65=20, BZ65=8.77,$BD148="Full year"),$BB148*$BF148,
AND(BH65&gt;=10, BH65&lt;=19, BZ65&gt;=4.39,BZ65&lt;=8.33,$BD148="Full year"),$BB148*$BF149,
AND(BH65=20,BZ65=4.39,$BD148="Fall"),$BB148*$BF149,
AND(BH65&gt;=10, BH65&lt;=19, BZ65&gt;=2.19,BZ65&lt;=4.17,$BD148="Fall"),$BB148*($BF149/2),
AND(BH65=20, BZ65=4.39,$BD148="Spring"),$BB148*$BF149,
AND(BH65&gt;=10, BH65&lt;=19, BZ65&gt;=2.19,BZ65&lt;=4.17,$BD148="Spring"),$BB148*($BF149/2))*1.05^M$2,0)</f>
        <v>0</v>
      </c>
      <c r="AW148" s="666" cm="1">
        <f t="array" ref="AW148">_xlfn.IFNA(_xlfn.IFS(AND(BI65=20, CA65=8.77,$BD148="Full year"),$BB148*$BF148,
AND(BI65&gt;=10, BI65&lt;=19, CA65&gt;=4.39,CA65&lt;=8.33,$BD148="Full year"),$BB148*$BF149,
AND(BI65=20,CA65=4.39,$BD148="Fall"),$BB148*$BF149,
AND(BI65&gt;=10, BI65&lt;=19, CA65&gt;=2.19,CA65&lt;=4.17,$BD148="Fall"),$BB148*($BF149/2),
AND(BI65=20, CA65=4.39,$BD148="Spring"),$BB148*$BF149,
AND(BI65&gt;=10, BI65&lt;=19, CA65&gt;=2.19,CA65&lt;=4.17,$BD148="Spring"),$BB148*($BF149/2))*1.05^N$2,0)</f>
        <v>0</v>
      </c>
      <c r="AX148" s="666" cm="1">
        <f t="array" ref="AX148">_xlfn.IFNA(_xlfn.IFS(AND(BJ65=20, CB65=8.77,$BD148="Full year"),$BB148*$BF148,
AND(BJ65&gt;=10, BJ65&lt;=19, CB65&gt;=4.39,CB65&lt;=8.33,$BD148="Full year"),$BB148*$BF149,
AND(BJ65=20,CB65=4.39,$BD148="Fall"),$BB148*$BF149,
AND(BJ65&gt;=10, BJ65&lt;=19, CB65&gt;=2.19,CB65&lt;=4.17,$BD148="Fall"),$BB148*($BF149/2),
AND(BJ65=20, CB65=4.39,$BD148="Spring"),$BB148*$BF149,
AND(BJ65&gt;=10, BJ65&lt;=19, CB65&gt;=2.19,CB65&lt;=4.17,$BD148="Spring"),$BB148*($BF149/2))*1.05^O$2,0)</f>
        <v>0</v>
      </c>
      <c r="AY148" s="666" cm="1">
        <f t="array" ref="AY148">_xlfn.IFNA(_xlfn.IFS(AND(BK65=20, CC65=8.77,$BD148="Full year"),$BB148*$BF148,
AND(BK65&gt;=10, BK65&lt;=19, CC65&gt;=4.39,CC65&lt;=8.33,$BD148="Full year"),$BB148*$BF149,
AND(BK65=20,CC65=4.39,$BD148="Fall"),$BB148*$BF149,
AND(BK65&gt;=10, BK65&lt;=19, CC65&gt;=2.19,CC65&lt;=4.17,$BD148="Fall"),$BB148*($BF149/2),
AND(BK65=20, CC65=4.39,$BD148="Spring"),$BB148*$BF149,
AND(BK65&gt;=10, BK65&lt;=19, CC65&gt;=2.19,CC65&lt;=4.17,$BD148="Spring"),$BB148*($BF149/2))*1.05^P$2,0)</f>
        <v>0</v>
      </c>
      <c r="AZ148" s="673">
        <f>SUM(AP148:AY149)</f>
        <v>0</v>
      </c>
      <c r="BB148" s="49">
        <f t="shared" si="204"/>
        <v>0</v>
      </c>
      <c r="BC148" s="19" t="str">
        <f t="shared" si="205"/>
        <v>GRA #5</v>
      </c>
      <c r="BD148" s="19" t="str">
        <f t="shared" si="206"/>
        <v>Full year</v>
      </c>
      <c r="BE148" s="40" t="s">
        <v>245</v>
      </c>
      <c r="BF148" s="207">
        <f>Rates!C15</f>
        <v>12320</v>
      </c>
      <c r="CD148" s="149"/>
    </row>
    <row r="149" spans="2:82" ht="30" hidden="1" customHeight="1" outlineLevel="1" thickTop="1" thickBot="1" x14ac:dyDescent="0.3">
      <c r="B149" s="49">
        <f t="shared" si="203"/>
        <v>0</v>
      </c>
      <c r="C149" s="157">
        <f t="shared" si="203"/>
        <v>0</v>
      </c>
      <c r="D149" s="19" t="str">
        <f t="shared" si="203"/>
        <v>Summer</v>
      </c>
      <c r="E149" s="44" t="s">
        <v>247</v>
      </c>
      <c r="F149" s="45">
        <f>Rates!C16</f>
        <v>6160</v>
      </c>
      <c r="G149" s="748"/>
      <c r="H149" s="748"/>
      <c r="I149" s="748"/>
      <c r="J149" s="748"/>
      <c r="K149" s="748"/>
      <c r="L149" s="748"/>
      <c r="M149" s="748"/>
      <c r="N149" s="748"/>
      <c r="O149" s="748"/>
      <c r="P149" s="748"/>
      <c r="Q149" s="748"/>
      <c r="R149" s="748"/>
      <c r="S149" s="748"/>
      <c r="T149" s="748"/>
      <c r="U149" s="748"/>
      <c r="V149" s="748"/>
      <c r="W149" s="748"/>
      <c r="X149" s="748"/>
      <c r="Y149" s="748"/>
      <c r="Z149" s="748"/>
      <c r="AA149" s="748"/>
      <c r="AB149" s="748"/>
      <c r="AC149" s="748"/>
      <c r="AD149" s="664"/>
      <c r="AE149" s="664"/>
      <c r="AF149" s="664"/>
      <c r="AG149" s="664"/>
      <c r="AH149" s="664"/>
      <c r="AI149" s="664"/>
      <c r="AJ149" s="664"/>
      <c r="AK149" s="664"/>
      <c r="AL149" s="664"/>
      <c r="AM149" s="664"/>
      <c r="AN149" s="743"/>
      <c r="AO149" s="739"/>
      <c r="AP149" s="676"/>
      <c r="AQ149" s="667"/>
      <c r="AR149" s="667"/>
      <c r="AS149" s="667"/>
      <c r="AT149" s="667"/>
      <c r="AU149" s="667"/>
      <c r="AV149" s="667"/>
      <c r="AW149" s="667"/>
      <c r="AX149" s="667"/>
      <c r="AY149" s="667"/>
      <c r="AZ149" s="674"/>
      <c r="BB149" s="49">
        <f t="shared" si="204"/>
        <v>0</v>
      </c>
      <c r="BC149" s="157">
        <f t="shared" si="205"/>
        <v>0</v>
      </c>
      <c r="BD149" s="19" t="str">
        <f t="shared" si="206"/>
        <v>Summer</v>
      </c>
      <c r="BE149" s="42" t="s">
        <v>247</v>
      </c>
      <c r="BF149" s="206">
        <f>Rates!C16</f>
        <v>6160</v>
      </c>
      <c r="CD149" s="149"/>
    </row>
    <row r="150" spans="2:82" ht="33.75" customHeight="1" collapsed="1" thickTop="1" x14ac:dyDescent="0.25">
      <c r="B150" s="737" t="s">
        <v>248</v>
      </c>
      <c r="C150" s="737"/>
      <c r="D150" s="737"/>
      <c r="E150" s="737"/>
      <c r="F150" s="737"/>
      <c r="G150" s="737"/>
      <c r="H150" s="737"/>
      <c r="I150" s="737"/>
      <c r="J150" s="737"/>
      <c r="K150" s="737"/>
      <c r="L150" s="737"/>
      <c r="M150" s="737"/>
      <c r="N150" s="737"/>
      <c r="O150" s="737"/>
      <c r="P150" s="737"/>
      <c r="Q150" s="737"/>
      <c r="R150" s="737"/>
      <c r="S150" s="737"/>
      <c r="T150" s="737"/>
      <c r="U150" s="737"/>
      <c r="V150" s="331"/>
      <c r="W150" s="331"/>
      <c r="X150" s="331"/>
      <c r="Y150" s="331"/>
      <c r="Z150" s="331"/>
      <c r="AA150" s="331"/>
      <c r="AB150" s="331"/>
      <c r="AC150" s="331"/>
      <c r="AD150" s="560">
        <f t="shared" ref="AD150:AM150" si="207">SUM(AD140:AD149)</f>
        <v>0</v>
      </c>
      <c r="AE150" s="560">
        <f t="shared" si="207"/>
        <v>0</v>
      </c>
      <c r="AF150" s="560">
        <f t="shared" si="207"/>
        <v>0</v>
      </c>
      <c r="AG150" s="560">
        <f t="shared" si="207"/>
        <v>0</v>
      </c>
      <c r="AH150" s="560">
        <f t="shared" si="207"/>
        <v>0</v>
      </c>
      <c r="AI150" s="560">
        <f t="shared" si="207"/>
        <v>0</v>
      </c>
      <c r="AJ150" s="560">
        <f t="shared" si="207"/>
        <v>0</v>
      </c>
      <c r="AK150" s="560">
        <f t="shared" si="207"/>
        <v>0</v>
      </c>
      <c r="AL150" s="560">
        <f t="shared" si="207"/>
        <v>0</v>
      </c>
      <c r="AM150" s="560">
        <f t="shared" si="207"/>
        <v>0</v>
      </c>
      <c r="AN150" s="561">
        <f>SUM(AN140:AN149)</f>
        <v>0</v>
      </c>
      <c r="AO150" s="512">
        <f>TuitionTotal+AZ150</f>
        <v>0</v>
      </c>
      <c r="AP150" s="586">
        <f>SUM(AP140:AP149)</f>
        <v>0</v>
      </c>
      <c r="AQ150" s="586">
        <f>SUM(AQ140:AQ149)</f>
        <v>0</v>
      </c>
      <c r="AR150" s="586">
        <f>SUM(AR140:AR149)</f>
        <v>0</v>
      </c>
      <c r="AS150" s="587">
        <f t="shared" ref="AS150:AY150" si="208">SUM(AS140:AS149)</f>
        <v>0</v>
      </c>
      <c r="AT150" s="586">
        <f t="shared" si="208"/>
        <v>0</v>
      </c>
      <c r="AU150" s="586">
        <f t="shared" si="208"/>
        <v>0</v>
      </c>
      <c r="AV150" s="586">
        <f t="shared" si="208"/>
        <v>0</v>
      </c>
      <c r="AW150" s="586">
        <f t="shared" si="208"/>
        <v>0</v>
      </c>
      <c r="AX150" s="586">
        <f t="shared" si="208"/>
        <v>0</v>
      </c>
      <c r="AY150" s="586">
        <f t="shared" si="208"/>
        <v>0</v>
      </c>
      <c r="AZ150" s="586">
        <f>SUM(AZ140:AZ149)</f>
        <v>0</v>
      </c>
      <c r="BA150" s="380"/>
      <c r="BB150" s="730" t="s">
        <v>249</v>
      </c>
      <c r="BC150" s="730"/>
      <c r="BD150" s="730"/>
      <c r="BE150" s="730"/>
      <c r="BF150" s="730"/>
      <c r="BG150" s="730"/>
      <c r="BH150" s="730"/>
      <c r="BI150" s="730"/>
      <c r="BJ150" s="730"/>
      <c r="BK150" s="730"/>
      <c r="BL150" s="730"/>
      <c r="BM150" s="730"/>
      <c r="BN150" s="730"/>
      <c r="BO150" s="730"/>
      <c r="BP150" s="730"/>
      <c r="BQ150" s="730"/>
      <c r="BR150" s="730"/>
      <c r="BS150" s="730"/>
      <c r="BT150" s="730"/>
      <c r="BU150" s="730"/>
      <c r="BV150" s="730"/>
      <c r="BW150" s="730"/>
      <c r="BX150" s="730"/>
      <c r="BY150" s="730"/>
      <c r="BZ150" s="730"/>
      <c r="CA150" s="730"/>
      <c r="CB150" s="730"/>
      <c r="CC150" s="730"/>
      <c r="CD150" s="731"/>
    </row>
    <row r="151" spans="2:82" ht="41.25" customHeight="1" thickBot="1" x14ac:dyDescent="0.3">
      <c r="B151" s="744" t="s">
        <v>250</v>
      </c>
      <c r="C151" s="744"/>
      <c r="D151" s="744"/>
      <c r="E151" s="744"/>
      <c r="F151" s="744"/>
      <c r="G151" s="744"/>
      <c r="H151" s="744"/>
      <c r="I151" s="744"/>
      <c r="J151" s="744"/>
      <c r="K151" s="744"/>
      <c r="L151" s="744"/>
      <c r="M151" s="744"/>
      <c r="N151" s="744"/>
      <c r="O151" s="744"/>
      <c r="P151" s="744"/>
      <c r="Q151" s="744"/>
      <c r="R151" s="744"/>
      <c r="S151" s="744"/>
      <c r="T151" s="744"/>
      <c r="U151" s="744"/>
      <c r="V151" s="328"/>
      <c r="W151" s="328"/>
      <c r="X151" s="328"/>
      <c r="Y151" s="328"/>
      <c r="Z151" s="328"/>
      <c r="AA151" s="328"/>
      <c r="AB151" s="328"/>
      <c r="AC151" s="332"/>
      <c r="AD151" s="345">
        <f>SUM(OtherPersonnelBenefits1,GRABenefits1,Tuition1)</f>
        <v>0</v>
      </c>
      <c r="AE151" s="345">
        <f>SUM(OtherPersonnelBenefits2,GRABenefits2,Tuition2)</f>
        <v>0</v>
      </c>
      <c r="AF151" s="333">
        <f>SUM(OtherPersonnelBenefits3,GRABenefits3,Tuition3)</f>
        <v>0</v>
      </c>
      <c r="AG151" s="333">
        <f>SUM(OtherPersonnelBenefits4,GRABenefits4,Tuition4)</f>
        <v>0</v>
      </c>
      <c r="AH151" s="345">
        <f t="shared" ref="AH151" si="209">SUM(OtherPersonnelBenefits5,GRABenefits5,Tuition5)</f>
        <v>0</v>
      </c>
      <c r="AI151" s="345">
        <f>SUM(OtherPersonnelBenefits6,GRABenefits6,Tuition6)</f>
        <v>0</v>
      </c>
      <c r="AJ151" s="345">
        <f>SUM(OtherPersonnelBenefits7,GRABenefits7,Tuition7)</f>
        <v>0</v>
      </c>
      <c r="AK151" s="345">
        <f>SUM(OtherPersonnelBenefits8,GRABenefits8,Tuition8)</f>
        <v>0</v>
      </c>
      <c r="AL151" s="345">
        <f>SUM(OtherPersonnelBenefits9,GRABenefits9,Tuition9)</f>
        <v>0</v>
      </c>
      <c r="AM151" s="345">
        <f>SUM(OtherPersonnelBenefits10,GRABenefits10,Tuition10)</f>
        <v>0</v>
      </c>
      <c r="AN151" s="345">
        <f>SUM(OtherPersonnelBenefitsToT,GRABenefitsToT,TuitionTotal)</f>
        <v>0</v>
      </c>
      <c r="AO151" s="512">
        <f>AN151+AZ151</f>
        <v>0</v>
      </c>
      <c r="AP151" s="588">
        <f>cs.Oth.Fringe1 + cs.GRABenefits1 + cs.GRA.Tuition1</f>
        <v>0</v>
      </c>
      <c r="AQ151" s="588">
        <f>cs.Oth.Fringe2 + cs.GRABenefits2 + cs.GRA.Tuition2</f>
        <v>0</v>
      </c>
      <c r="AR151" s="588">
        <f>cs.Oth.Fringe3 + cs.GRABenefits3 + cs.GRA.Tuition3</f>
        <v>0</v>
      </c>
      <c r="AS151" s="588">
        <f>cs.Oth.Fringe4 + cs.GRABenefits4 + cs.GRA.Tuition4</f>
        <v>0</v>
      </c>
      <c r="AT151" s="588">
        <f t="shared" ref="AT151:AY151" si="210">cs.Oth.Fringe5 + cs.GRABenefits5 + cs.GRA.Tuition5</f>
        <v>0</v>
      </c>
      <c r="AU151" s="588">
        <f t="shared" si="210"/>
        <v>0</v>
      </c>
      <c r="AV151" s="588">
        <f t="shared" si="210"/>
        <v>0</v>
      </c>
      <c r="AW151" s="588">
        <f t="shared" si="210"/>
        <v>0</v>
      </c>
      <c r="AX151" s="588">
        <f t="shared" si="210"/>
        <v>0</v>
      </c>
      <c r="AY151" s="588">
        <f t="shared" si="210"/>
        <v>0</v>
      </c>
      <c r="AZ151" s="588">
        <f>cs.Oth.FringeTot + cs.GRABenefitsToT + cs.GRA.TutionTot</f>
        <v>0</v>
      </c>
      <c r="BA151" s="379"/>
      <c r="BB151" s="825" t="s">
        <v>251</v>
      </c>
      <c r="BC151" s="825"/>
      <c r="BD151" s="825"/>
      <c r="BE151" s="825"/>
      <c r="BF151" s="825"/>
      <c r="BG151" s="825"/>
      <c r="BH151" s="825"/>
      <c r="BI151" s="825"/>
      <c r="BJ151" s="825"/>
      <c r="BK151" s="825"/>
      <c r="BL151" s="825"/>
      <c r="BM151" s="825"/>
      <c r="BN151" s="825"/>
      <c r="BO151" s="825"/>
      <c r="BP151" s="825"/>
      <c r="BQ151" s="825"/>
      <c r="BR151" s="825"/>
      <c r="BS151" s="825"/>
      <c r="BT151" s="825"/>
      <c r="BU151" s="825"/>
      <c r="BV151" s="825"/>
      <c r="BW151" s="825"/>
      <c r="BX151" s="825"/>
      <c r="BY151" s="825"/>
      <c r="BZ151" s="825"/>
      <c r="CA151" s="825"/>
      <c r="CB151" s="825"/>
      <c r="CC151" s="825"/>
      <c r="CD151" s="826"/>
    </row>
    <row r="152" spans="2:82" ht="57" customHeight="1" thickBot="1" x14ac:dyDescent="0.35">
      <c r="B152" s="738" t="s">
        <v>252</v>
      </c>
      <c r="C152" s="738"/>
      <c r="D152" s="738"/>
      <c r="E152" s="738"/>
      <c r="F152" s="738"/>
      <c r="G152" s="738"/>
      <c r="H152" s="738"/>
      <c r="I152" s="738"/>
      <c r="J152" s="738"/>
      <c r="K152" s="738"/>
      <c r="L152" s="738"/>
      <c r="M152" s="738"/>
      <c r="N152" s="738"/>
      <c r="O152" s="738"/>
      <c r="P152" s="738"/>
      <c r="Q152" s="738"/>
      <c r="R152" s="738"/>
      <c r="S152" s="738"/>
      <c r="T152" s="738"/>
      <c r="U152" s="738"/>
      <c r="V152" s="738"/>
      <c r="W152" s="738"/>
      <c r="X152" s="738"/>
      <c r="Y152" s="738"/>
      <c r="Z152" s="738"/>
      <c r="AA152" s="738"/>
      <c r="AB152" s="738"/>
      <c r="AC152" s="738"/>
      <c r="AD152" s="738"/>
      <c r="AE152" s="738"/>
      <c r="AF152" s="738"/>
      <c r="AG152" s="738"/>
      <c r="AH152" s="738"/>
      <c r="AI152" s="738"/>
      <c r="AJ152" s="738"/>
      <c r="AK152" s="738"/>
      <c r="AL152" s="738"/>
      <c r="AM152" s="738"/>
      <c r="AN152" s="738"/>
      <c r="AO152" s="511"/>
      <c r="AP152" s="672" t="s">
        <v>252</v>
      </c>
      <c r="AQ152" s="672"/>
      <c r="AR152" s="672"/>
      <c r="AS152" s="672"/>
      <c r="AT152" s="672"/>
      <c r="AU152" s="672"/>
      <c r="AV152" s="672"/>
      <c r="AW152" s="672"/>
      <c r="AX152" s="672"/>
      <c r="AY152" s="672"/>
      <c r="AZ152" s="672"/>
      <c r="BA152" s="672"/>
      <c r="BB152" s="672"/>
      <c r="BC152" s="672"/>
      <c r="BD152" s="672"/>
      <c r="BE152" s="672"/>
      <c r="BF152" s="672"/>
      <c r="BG152" s="672"/>
      <c r="BH152" s="672"/>
      <c r="BI152" s="672"/>
      <c r="BJ152" s="672"/>
      <c r="BK152" s="672"/>
      <c r="BL152" s="672"/>
      <c r="BM152" s="672"/>
      <c r="BN152" s="672"/>
      <c r="BO152" s="672"/>
      <c r="BP152" s="672"/>
      <c r="BQ152" s="672"/>
      <c r="BR152" s="672"/>
      <c r="BS152" s="672"/>
      <c r="BT152" s="672"/>
      <c r="BU152" s="672"/>
      <c r="BV152" s="672"/>
      <c r="BW152" s="672"/>
      <c r="BX152" s="672"/>
      <c r="BY152" s="672"/>
      <c r="BZ152" s="672"/>
      <c r="CA152" s="672"/>
      <c r="CB152" s="672"/>
      <c r="CC152" s="672"/>
      <c r="CD152" s="672"/>
    </row>
    <row r="153" spans="2:82" ht="33.75" customHeight="1" thickTop="1" x14ac:dyDescent="0.25">
      <c r="B153" s="746" t="s">
        <v>253</v>
      </c>
      <c r="C153" s="746"/>
      <c r="D153" s="665" t="s">
        <v>254</v>
      </c>
      <c r="E153" s="665"/>
      <c r="F153" s="665"/>
      <c r="G153" s="665"/>
      <c r="H153" s="665"/>
      <c r="I153" s="665"/>
      <c r="J153" s="665"/>
      <c r="K153" s="665"/>
      <c r="L153" s="665"/>
      <c r="M153" s="665"/>
      <c r="N153" s="665"/>
      <c r="O153" s="665"/>
      <c r="P153" s="665"/>
      <c r="Q153" s="772" t="s">
        <v>255</v>
      </c>
      <c r="R153" s="772"/>
      <c r="S153" s="772"/>
      <c r="T153" s="772"/>
      <c r="U153" s="772"/>
      <c r="V153" s="772"/>
      <c r="W153" s="772"/>
      <c r="X153" s="772"/>
      <c r="Y153" s="772"/>
      <c r="Z153" s="772"/>
      <c r="AA153" s="772"/>
      <c r="AB153" s="772"/>
      <c r="AC153" s="772"/>
      <c r="AD153" s="51" t="s">
        <v>137</v>
      </c>
      <c r="AE153" s="51" t="s">
        <v>138</v>
      </c>
      <c r="AF153" s="51" t="s">
        <v>139</v>
      </c>
      <c r="AG153" s="51" t="s">
        <v>140</v>
      </c>
      <c r="AH153" s="51" t="s">
        <v>141</v>
      </c>
      <c r="AI153" s="51" t="s">
        <v>142</v>
      </c>
      <c r="AJ153" s="51" t="s">
        <v>143</v>
      </c>
      <c r="AK153" s="51" t="s">
        <v>144</v>
      </c>
      <c r="AL153" s="51" t="s">
        <v>145</v>
      </c>
      <c r="AM153" s="51" t="s">
        <v>146</v>
      </c>
      <c r="AN153" s="347" t="s">
        <v>116</v>
      </c>
      <c r="AO153" s="512"/>
      <c r="AP153" s="54" t="s">
        <v>137</v>
      </c>
      <c r="AQ153" s="54" t="s">
        <v>138</v>
      </c>
      <c r="AR153" s="54" t="s">
        <v>139</v>
      </c>
      <c r="AS153" s="54" t="s">
        <v>140</v>
      </c>
      <c r="AT153" s="355" t="s">
        <v>141</v>
      </c>
      <c r="AU153" s="355" t="s">
        <v>142</v>
      </c>
      <c r="AV153" s="355" t="s">
        <v>143</v>
      </c>
      <c r="AW153" s="355" t="s">
        <v>144</v>
      </c>
      <c r="AX153" s="355" t="s">
        <v>145</v>
      </c>
      <c r="AY153" s="355" t="s">
        <v>146</v>
      </c>
      <c r="AZ153" s="361" t="s">
        <v>147</v>
      </c>
      <c r="BA153" s="356"/>
      <c r="BB153" s="6" t="s">
        <v>256</v>
      </c>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149"/>
    </row>
    <row r="154" spans="2:82" ht="30" customHeight="1" x14ac:dyDescent="0.25">
      <c r="B154" s="760"/>
      <c r="C154" s="760"/>
      <c r="D154" s="654"/>
      <c r="E154" s="655"/>
      <c r="F154" s="655"/>
      <c r="G154" s="655"/>
      <c r="H154" s="655"/>
      <c r="I154" s="655"/>
      <c r="J154" s="655"/>
      <c r="K154" s="655"/>
      <c r="L154" s="655"/>
      <c r="M154" s="655"/>
      <c r="N154" s="655"/>
      <c r="O154" s="655"/>
      <c r="P154" s="656"/>
      <c r="Q154" s="773"/>
      <c r="R154" s="773"/>
      <c r="S154" s="773"/>
      <c r="T154" s="773"/>
      <c r="U154" s="773"/>
      <c r="V154" s="773"/>
      <c r="W154" s="773"/>
      <c r="X154" s="773"/>
      <c r="Y154" s="773"/>
      <c r="Z154" s="773"/>
      <c r="AA154" s="773"/>
      <c r="AB154" s="773"/>
      <c r="AC154" s="773"/>
      <c r="AD154" s="265"/>
      <c r="AE154" s="265"/>
      <c r="AF154" s="265"/>
      <c r="AG154" s="265"/>
      <c r="AH154" s="265"/>
      <c r="AI154" s="265"/>
      <c r="AJ154" s="265"/>
      <c r="AK154" s="265"/>
      <c r="AL154" s="265"/>
      <c r="AM154" s="265"/>
      <c r="AN154" s="68">
        <f>SUM(AD154:AM154)</f>
        <v>0</v>
      </c>
      <c r="AO154" s="512">
        <f t="shared" ref="AO154:AO159" si="211">AN154+AZ154</f>
        <v>0</v>
      </c>
      <c r="AP154" s="526"/>
      <c r="AQ154" s="265"/>
      <c r="AR154" s="265"/>
      <c r="AS154" s="265"/>
      <c r="AT154" s="265"/>
      <c r="AU154" s="265"/>
      <c r="AV154" s="265"/>
      <c r="AW154" s="265"/>
      <c r="AX154" s="265"/>
      <c r="AY154" s="265"/>
      <c r="AZ154" s="237">
        <f>SUM(AP154:AY154)</f>
        <v>0</v>
      </c>
      <c r="BB154" s="822"/>
      <c r="BC154" s="823"/>
      <c r="BD154" s="823"/>
      <c r="BE154" s="823"/>
      <c r="BF154" s="823"/>
      <c r="BG154" s="823"/>
      <c r="BH154" s="823"/>
      <c r="BI154" s="823"/>
      <c r="BJ154" s="823"/>
      <c r="BK154" s="823"/>
      <c r="BL154" s="823"/>
      <c r="BM154" s="823"/>
      <c r="BN154" s="823"/>
      <c r="BO154" s="823"/>
      <c r="BP154" s="823"/>
      <c r="BQ154" s="823"/>
      <c r="BR154" s="824"/>
      <c r="BS154" s="194"/>
      <c r="BT154" s="194"/>
      <c r="BU154" s="194"/>
      <c r="BV154" s="194"/>
      <c r="BW154" s="194"/>
      <c r="BX154" s="194"/>
      <c r="BY154" s="194"/>
      <c r="BZ154" s="194"/>
      <c r="CA154" s="194"/>
      <c r="CB154" s="194"/>
      <c r="CC154" s="194"/>
      <c r="CD154" s="149"/>
    </row>
    <row r="155" spans="2:82" ht="30" customHeight="1" outlineLevel="1" x14ac:dyDescent="0.25">
      <c r="B155" s="760"/>
      <c r="C155" s="760"/>
      <c r="D155" s="654"/>
      <c r="E155" s="655"/>
      <c r="F155" s="655"/>
      <c r="G155" s="655"/>
      <c r="H155" s="655"/>
      <c r="I155" s="655"/>
      <c r="J155" s="655"/>
      <c r="K155" s="655"/>
      <c r="L155" s="655"/>
      <c r="M155" s="655"/>
      <c r="N155" s="655"/>
      <c r="O155" s="655"/>
      <c r="P155" s="656"/>
      <c r="Q155" s="773"/>
      <c r="R155" s="773"/>
      <c r="S155" s="773"/>
      <c r="T155" s="773"/>
      <c r="U155" s="773"/>
      <c r="V155" s="773"/>
      <c r="W155" s="773"/>
      <c r="X155" s="773"/>
      <c r="Y155" s="773"/>
      <c r="Z155" s="773"/>
      <c r="AA155" s="773"/>
      <c r="AB155" s="773"/>
      <c r="AC155" s="773"/>
      <c r="AD155" s="265"/>
      <c r="AE155" s="265"/>
      <c r="AF155" s="265"/>
      <c r="AG155" s="265"/>
      <c r="AH155" s="265"/>
      <c r="AI155" s="265"/>
      <c r="AJ155" s="265"/>
      <c r="AK155" s="265"/>
      <c r="AL155" s="265"/>
      <c r="AM155" s="265"/>
      <c r="AN155" s="68">
        <f>SUM(AD155:AM155)</f>
        <v>0</v>
      </c>
      <c r="AO155" s="512">
        <f t="shared" si="211"/>
        <v>0</v>
      </c>
      <c r="AP155" s="526"/>
      <c r="AQ155" s="265"/>
      <c r="AR155" s="265"/>
      <c r="AS155" s="265"/>
      <c r="AT155" s="265"/>
      <c r="AU155" s="265"/>
      <c r="AV155" s="265"/>
      <c r="AW155" s="265"/>
      <c r="AX155" s="265"/>
      <c r="AY155" s="265"/>
      <c r="AZ155" s="237">
        <f t="shared" ref="AZ155:AZ158" si="212">SUM(AP155:AY155)</f>
        <v>0</v>
      </c>
      <c r="BB155" s="822"/>
      <c r="BC155" s="823"/>
      <c r="BD155" s="823"/>
      <c r="BE155" s="823"/>
      <c r="BF155" s="823"/>
      <c r="BG155" s="823"/>
      <c r="BH155" s="823"/>
      <c r="BI155" s="823"/>
      <c r="BJ155" s="823"/>
      <c r="BK155" s="823"/>
      <c r="BL155" s="823"/>
      <c r="BM155" s="823"/>
      <c r="BN155" s="823"/>
      <c r="BO155" s="823"/>
      <c r="BP155" s="823"/>
      <c r="BQ155" s="823"/>
      <c r="BR155" s="824"/>
      <c r="BS155" s="194"/>
      <c r="BT155" s="194"/>
      <c r="BU155" s="194"/>
      <c r="BV155" s="22"/>
      <c r="BW155" s="22"/>
      <c r="BX155" s="22"/>
      <c r="BY155" s="22"/>
      <c r="BZ155" s="22"/>
      <c r="CA155" s="22"/>
      <c r="CB155" s="22"/>
      <c r="CC155" s="22"/>
      <c r="CD155" s="149"/>
    </row>
    <row r="156" spans="2:82" ht="30" customHeight="1" outlineLevel="1" x14ac:dyDescent="0.25">
      <c r="B156" s="760"/>
      <c r="C156" s="760"/>
      <c r="D156" s="648"/>
      <c r="E156" s="649"/>
      <c r="F156" s="649"/>
      <c r="G156" s="649"/>
      <c r="H156" s="649"/>
      <c r="I156" s="649"/>
      <c r="J156" s="649"/>
      <c r="K156" s="649"/>
      <c r="L156" s="649"/>
      <c r="M156" s="649"/>
      <c r="N156" s="649"/>
      <c r="O156" s="649"/>
      <c r="P156" s="650"/>
      <c r="Q156" s="773"/>
      <c r="R156" s="773"/>
      <c r="S156" s="773"/>
      <c r="T156" s="773"/>
      <c r="U156" s="773"/>
      <c r="V156" s="773"/>
      <c r="W156" s="773"/>
      <c r="X156" s="773"/>
      <c r="Y156" s="773"/>
      <c r="Z156" s="773"/>
      <c r="AA156" s="773"/>
      <c r="AB156" s="773"/>
      <c r="AC156" s="773"/>
      <c r="AD156" s="265"/>
      <c r="AE156" s="265"/>
      <c r="AF156" s="265"/>
      <c r="AG156" s="265"/>
      <c r="AH156" s="265"/>
      <c r="AI156" s="265"/>
      <c r="AJ156" s="265"/>
      <c r="AK156" s="265"/>
      <c r="AL156" s="265"/>
      <c r="AM156" s="265"/>
      <c r="AN156" s="68">
        <f>SUM(AD156:AM156)</f>
        <v>0</v>
      </c>
      <c r="AO156" s="512">
        <f t="shared" si="211"/>
        <v>0</v>
      </c>
      <c r="AP156" s="526"/>
      <c r="AQ156" s="265"/>
      <c r="AR156" s="265"/>
      <c r="AS156" s="265"/>
      <c r="AT156" s="265"/>
      <c r="AU156" s="265"/>
      <c r="AV156" s="265"/>
      <c r="AW156" s="265"/>
      <c r="AX156" s="265"/>
      <c r="AY156" s="265"/>
      <c r="AZ156" s="237">
        <f t="shared" si="212"/>
        <v>0</v>
      </c>
      <c r="BB156" s="822"/>
      <c r="BC156" s="823"/>
      <c r="BD156" s="823"/>
      <c r="BE156" s="823"/>
      <c r="BF156" s="823"/>
      <c r="BG156" s="823"/>
      <c r="BH156" s="823"/>
      <c r="BI156" s="823"/>
      <c r="BJ156" s="823"/>
      <c r="BK156" s="823"/>
      <c r="BL156" s="823"/>
      <c r="BM156" s="823"/>
      <c r="BN156" s="823"/>
      <c r="BO156" s="823"/>
      <c r="BP156" s="823"/>
      <c r="BQ156" s="823"/>
      <c r="BR156" s="824"/>
      <c r="BS156" s="194"/>
      <c r="BT156" s="194"/>
      <c r="BU156" s="194"/>
      <c r="BV156" s="194"/>
      <c r="BW156" s="194"/>
      <c r="BX156" s="194"/>
      <c r="BY156" s="194"/>
      <c r="BZ156" s="194"/>
      <c r="CA156" s="194"/>
      <c r="CB156" s="194"/>
      <c r="CC156" s="194"/>
      <c r="CD156" s="149"/>
    </row>
    <row r="157" spans="2:82" ht="30" customHeight="1" outlineLevel="1" x14ac:dyDescent="0.25">
      <c r="B157" s="760"/>
      <c r="C157" s="760"/>
      <c r="D157" s="654"/>
      <c r="E157" s="655"/>
      <c r="F157" s="655"/>
      <c r="G157" s="655"/>
      <c r="H157" s="655"/>
      <c r="I157" s="655"/>
      <c r="J157" s="655"/>
      <c r="K157" s="655"/>
      <c r="L157" s="655"/>
      <c r="M157" s="655"/>
      <c r="N157" s="655"/>
      <c r="O157" s="655"/>
      <c r="P157" s="656"/>
      <c r="Q157" s="773"/>
      <c r="R157" s="773"/>
      <c r="S157" s="773"/>
      <c r="T157" s="773"/>
      <c r="U157" s="773"/>
      <c r="V157" s="773"/>
      <c r="W157" s="773"/>
      <c r="X157" s="773"/>
      <c r="Y157" s="773"/>
      <c r="Z157" s="773"/>
      <c r="AA157" s="773"/>
      <c r="AB157" s="773"/>
      <c r="AC157" s="773"/>
      <c r="AD157" s="265"/>
      <c r="AE157" s="265"/>
      <c r="AF157" s="265"/>
      <c r="AG157" s="265"/>
      <c r="AH157" s="265"/>
      <c r="AI157" s="265"/>
      <c r="AJ157" s="265"/>
      <c r="AK157" s="265"/>
      <c r="AL157" s="265"/>
      <c r="AM157" s="265"/>
      <c r="AN157" s="68">
        <f>SUM(AD157:AM157)</f>
        <v>0</v>
      </c>
      <c r="AO157" s="512">
        <f t="shared" si="211"/>
        <v>0</v>
      </c>
      <c r="AP157" s="526"/>
      <c r="AQ157" s="265"/>
      <c r="AR157" s="265"/>
      <c r="AS157" s="265"/>
      <c r="AT157" s="265"/>
      <c r="AU157" s="265"/>
      <c r="AV157" s="265"/>
      <c r="AW157" s="265"/>
      <c r="AX157" s="265"/>
      <c r="AY157" s="265"/>
      <c r="AZ157" s="237">
        <f t="shared" si="212"/>
        <v>0</v>
      </c>
      <c r="BB157" s="822"/>
      <c r="BC157" s="823"/>
      <c r="BD157" s="823"/>
      <c r="BE157" s="823"/>
      <c r="BF157" s="823"/>
      <c r="BG157" s="823"/>
      <c r="BH157" s="823"/>
      <c r="BI157" s="823"/>
      <c r="BJ157" s="823"/>
      <c r="BK157" s="823"/>
      <c r="BL157" s="823"/>
      <c r="BM157" s="823"/>
      <c r="BN157" s="823"/>
      <c r="BO157" s="823"/>
      <c r="BP157" s="823"/>
      <c r="BQ157" s="823"/>
      <c r="BR157" s="824"/>
      <c r="BS157" s="194"/>
      <c r="BT157" s="194"/>
      <c r="BU157" s="194"/>
      <c r="BV157" s="194"/>
      <c r="BW157" s="194"/>
      <c r="BX157" s="194"/>
      <c r="BY157" s="194"/>
      <c r="BZ157" s="194"/>
      <c r="CA157" s="194"/>
      <c r="CB157" s="194"/>
      <c r="CC157" s="194"/>
      <c r="CD157" s="149"/>
    </row>
    <row r="158" spans="2:82" ht="30" customHeight="1" outlineLevel="1" x14ac:dyDescent="0.25">
      <c r="B158" s="760"/>
      <c r="C158" s="760"/>
      <c r="D158" s="654"/>
      <c r="E158" s="655"/>
      <c r="F158" s="655"/>
      <c r="G158" s="655"/>
      <c r="H158" s="655"/>
      <c r="I158" s="655"/>
      <c r="J158" s="655"/>
      <c r="K158" s="655"/>
      <c r="L158" s="655"/>
      <c r="M158" s="655"/>
      <c r="N158" s="655"/>
      <c r="O158" s="655"/>
      <c r="P158" s="656"/>
      <c r="Q158" s="773"/>
      <c r="R158" s="773"/>
      <c r="S158" s="773"/>
      <c r="T158" s="773"/>
      <c r="U158" s="773"/>
      <c r="V158" s="773"/>
      <c r="W158" s="773"/>
      <c r="X158" s="773"/>
      <c r="Y158" s="773"/>
      <c r="Z158" s="773"/>
      <c r="AA158" s="773"/>
      <c r="AB158" s="773"/>
      <c r="AC158" s="773"/>
      <c r="AD158" s="265"/>
      <c r="AE158" s="265"/>
      <c r="AF158" s="265"/>
      <c r="AG158" s="265"/>
      <c r="AH158" s="265"/>
      <c r="AI158" s="265"/>
      <c r="AJ158" s="265"/>
      <c r="AK158" s="265"/>
      <c r="AL158" s="265"/>
      <c r="AM158" s="265"/>
      <c r="AN158" s="68">
        <f>SUM(AD158:AM158)</f>
        <v>0</v>
      </c>
      <c r="AO158" s="512">
        <f t="shared" si="211"/>
        <v>0</v>
      </c>
      <c r="AP158" s="526"/>
      <c r="AQ158" s="265"/>
      <c r="AR158" s="265"/>
      <c r="AS158" s="265"/>
      <c r="AT158" s="265"/>
      <c r="AU158" s="265"/>
      <c r="AV158" s="265"/>
      <c r="AW158" s="265"/>
      <c r="AX158" s="265"/>
      <c r="AY158" s="265"/>
      <c r="AZ158" s="237">
        <f t="shared" si="212"/>
        <v>0</v>
      </c>
      <c r="BB158" s="822"/>
      <c r="BC158" s="823"/>
      <c r="BD158" s="823"/>
      <c r="BE158" s="823"/>
      <c r="BF158" s="823"/>
      <c r="BG158" s="823"/>
      <c r="BH158" s="823"/>
      <c r="BI158" s="823"/>
      <c r="BJ158" s="823"/>
      <c r="BK158" s="823"/>
      <c r="BL158" s="823"/>
      <c r="BM158" s="823"/>
      <c r="BN158" s="823"/>
      <c r="BO158" s="823"/>
      <c r="BP158" s="823"/>
      <c r="BQ158" s="823"/>
      <c r="BR158" s="824"/>
      <c r="BS158" s="194"/>
      <c r="BT158" s="194"/>
      <c r="BU158" s="194"/>
      <c r="BV158" s="194"/>
      <c r="BW158" s="194"/>
      <c r="BX158" s="194"/>
      <c r="BY158" s="194"/>
      <c r="BZ158" s="194"/>
      <c r="CA158" s="194"/>
      <c r="CB158" s="194"/>
      <c r="CC158" s="194"/>
      <c r="CD158" s="149"/>
    </row>
    <row r="159" spans="2:82" ht="40.5" customHeight="1" thickBot="1" x14ac:dyDescent="0.3">
      <c r="B159" s="744" t="s">
        <v>257</v>
      </c>
      <c r="C159" s="744"/>
      <c r="D159" s="744"/>
      <c r="E159" s="744"/>
      <c r="F159" s="744"/>
      <c r="G159" s="744"/>
      <c r="H159" s="744"/>
      <c r="I159" s="744"/>
      <c r="J159" s="328"/>
      <c r="K159" s="328"/>
      <c r="L159" s="328"/>
      <c r="M159" s="328"/>
      <c r="N159" s="328"/>
      <c r="O159" s="328"/>
      <c r="P159" s="328"/>
      <c r="Q159" s="328"/>
      <c r="R159" s="328"/>
      <c r="S159" s="328"/>
      <c r="T159" s="328"/>
      <c r="U159" s="328"/>
      <c r="V159" s="328"/>
      <c r="W159" s="328"/>
      <c r="X159" s="328"/>
      <c r="Y159" s="328"/>
      <c r="Z159" s="328"/>
      <c r="AA159" s="328"/>
      <c r="AB159" s="328"/>
      <c r="AC159" s="328"/>
      <c r="AD159" s="334">
        <f>SUM(AD154:AD158)</f>
        <v>0</v>
      </c>
      <c r="AE159" s="334">
        <f>SUM(AE154:AE158)</f>
        <v>0</v>
      </c>
      <c r="AF159" s="335">
        <f>SUM(AF154:AF158)</f>
        <v>0</v>
      </c>
      <c r="AG159" s="335">
        <f>SUM(AG154:AG158)</f>
        <v>0</v>
      </c>
      <c r="AH159" s="335">
        <f>SUM(AH154:AH158)</f>
        <v>0</v>
      </c>
      <c r="AI159" s="335">
        <f t="shared" ref="AI159:AL159" si="213">SUM(AI154:AI158)</f>
        <v>0</v>
      </c>
      <c r="AJ159" s="335">
        <f t="shared" si="213"/>
        <v>0</v>
      </c>
      <c r="AK159" s="335">
        <f t="shared" si="213"/>
        <v>0</v>
      </c>
      <c r="AL159" s="335">
        <f t="shared" si="213"/>
        <v>0</v>
      </c>
      <c r="AM159" s="335">
        <f>SUM(AM154:AM158)</f>
        <v>0</v>
      </c>
      <c r="AN159" s="346">
        <f>SUM(AN154:AN158)</f>
        <v>0</v>
      </c>
      <c r="AO159" s="512">
        <f t="shared" si="211"/>
        <v>0</v>
      </c>
      <c r="AP159" s="595">
        <f>SUM(AP154:AP158)</f>
        <v>0</v>
      </c>
      <c r="AQ159" s="594">
        <f>SUM(AQ154:AQ158)</f>
        <v>0</v>
      </c>
      <c r="AR159" s="594">
        <f>SUM(AR154:AR158)</f>
        <v>0</v>
      </c>
      <c r="AS159" s="594">
        <f t="shared" ref="AS159:AY159" si="214">SUM(AS154:AS158)</f>
        <v>0</v>
      </c>
      <c r="AT159" s="594">
        <f t="shared" si="214"/>
        <v>0</v>
      </c>
      <c r="AU159" s="594">
        <f t="shared" si="214"/>
        <v>0</v>
      </c>
      <c r="AV159" s="594">
        <f t="shared" si="214"/>
        <v>0</v>
      </c>
      <c r="AW159" s="594">
        <f t="shared" si="214"/>
        <v>0</v>
      </c>
      <c r="AX159" s="594">
        <f t="shared" si="214"/>
        <v>0</v>
      </c>
      <c r="AY159" s="594">
        <f t="shared" si="214"/>
        <v>0</v>
      </c>
      <c r="AZ159" s="593">
        <f t="shared" ref="AZ159" si="215">SUM(AP159:AT159)</f>
        <v>0</v>
      </c>
      <c r="BA159" s="379"/>
      <c r="BB159" s="825" t="s">
        <v>257</v>
      </c>
      <c r="BC159" s="825"/>
      <c r="BD159" s="825"/>
      <c r="BE159" s="825"/>
      <c r="BF159" s="825"/>
      <c r="BG159" s="825"/>
      <c r="BH159" s="825"/>
      <c r="BI159" s="825"/>
      <c r="BJ159" s="825"/>
      <c r="BK159" s="825"/>
      <c r="BL159" s="825"/>
      <c r="BM159" s="825"/>
      <c r="BN159" s="825"/>
      <c r="BO159" s="825"/>
      <c r="BP159" s="825"/>
      <c r="BQ159" s="825"/>
      <c r="BR159" s="825"/>
      <c r="BS159" s="825"/>
      <c r="BT159" s="825"/>
      <c r="BU159" s="825"/>
      <c r="BV159" s="825"/>
      <c r="BW159" s="825"/>
      <c r="BX159" s="825"/>
      <c r="BY159" s="825"/>
      <c r="BZ159" s="825"/>
      <c r="CA159" s="825"/>
      <c r="CB159" s="825"/>
      <c r="CC159" s="825"/>
      <c r="CD159" s="826"/>
    </row>
    <row r="160" spans="2:82" ht="52.5" customHeight="1" thickBot="1" x14ac:dyDescent="0.35">
      <c r="B160" s="738" t="s">
        <v>258</v>
      </c>
      <c r="C160" s="738"/>
      <c r="D160" s="738"/>
      <c r="E160" s="738"/>
      <c r="F160" s="738"/>
      <c r="G160" s="738"/>
      <c r="H160" s="738"/>
      <c r="I160" s="738"/>
      <c r="J160" s="738"/>
      <c r="K160" s="738"/>
      <c r="L160" s="738"/>
      <c r="M160" s="738"/>
      <c r="N160" s="738"/>
      <c r="O160" s="738"/>
      <c r="P160" s="738"/>
      <c r="Q160" s="738"/>
      <c r="R160" s="738"/>
      <c r="S160" s="738"/>
      <c r="T160" s="738"/>
      <c r="U160" s="738"/>
      <c r="V160" s="738"/>
      <c r="W160" s="738"/>
      <c r="X160" s="738"/>
      <c r="Y160" s="738"/>
      <c r="Z160" s="738"/>
      <c r="AA160" s="738"/>
      <c r="AB160" s="738"/>
      <c r="AC160" s="738"/>
      <c r="AD160" s="738"/>
      <c r="AE160" s="738"/>
      <c r="AF160" s="738"/>
      <c r="AG160" s="738"/>
      <c r="AH160" s="738"/>
      <c r="AI160" s="738"/>
      <c r="AJ160" s="738"/>
      <c r="AK160" s="738"/>
      <c r="AL160" s="738"/>
      <c r="AM160" s="738"/>
      <c r="AN160" s="738"/>
      <c r="AO160" s="511"/>
      <c r="AP160" s="672" t="s">
        <v>258</v>
      </c>
      <c r="AQ160" s="672"/>
      <c r="AR160" s="672"/>
      <c r="AS160" s="672"/>
      <c r="AT160" s="672"/>
      <c r="AU160" s="672"/>
      <c r="AV160" s="672"/>
      <c r="AW160" s="672"/>
      <c r="AX160" s="672"/>
      <c r="AY160" s="672"/>
      <c r="AZ160" s="672"/>
      <c r="BA160" s="672"/>
      <c r="BB160" s="672"/>
      <c r="BC160" s="672"/>
      <c r="BD160" s="672"/>
      <c r="BE160" s="672"/>
      <c r="BF160" s="672"/>
      <c r="BG160" s="672"/>
      <c r="BH160" s="672"/>
      <c r="BI160" s="672"/>
      <c r="BJ160" s="672"/>
      <c r="BK160" s="672"/>
      <c r="BL160" s="672"/>
      <c r="BM160" s="672"/>
      <c r="BN160" s="672"/>
      <c r="BO160" s="672"/>
      <c r="BP160" s="672"/>
      <c r="BQ160" s="672"/>
      <c r="BR160" s="672"/>
      <c r="BS160" s="672"/>
      <c r="BT160" s="672"/>
      <c r="BU160" s="672"/>
      <c r="BV160" s="672"/>
      <c r="BW160" s="672"/>
      <c r="BX160" s="672"/>
      <c r="BY160" s="672"/>
      <c r="BZ160" s="672"/>
      <c r="CA160" s="672"/>
      <c r="CB160" s="672"/>
      <c r="CC160" s="672"/>
      <c r="CD160" s="672"/>
    </row>
    <row r="161" spans="2:83" ht="33" customHeight="1" thickTop="1" x14ac:dyDescent="0.25">
      <c r="B161" s="758" t="s">
        <v>259</v>
      </c>
      <c r="C161" s="759"/>
      <c r="D161" s="665" t="s">
        <v>254</v>
      </c>
      <c r="E161" s="665"/>
      <c r="F161" s="665"/>
      <c r="G161" s="665"/>
      <c r="H161" s="665"/>
      <c r="I161" s="665"/>
      <c r="J161" s="665"/>
      <c r="K161" s="665"/>
      <c r="L161" s="665"/>
      <c r="M161" s="665"/>
      <c r="N161" s="665"/>
      <c r="O161" s="665"/>
      <c r="P161" s="665"/>
      <c r="Q161" s="562"/>
      <c r="R161" s="562"/>
      <c r="S161" s="562"/>
      <c r="T161" s="562"/>
      <c r="U161" s="562"/>
      <c r="V161" s="213"/>
      <c r="W161" s="213"/>
      <c r="X161" s="213"/>
      <c r="Y161" s="213"/>
      <c r="Z161" s="213"/>
      <c r="AA161" s="213"/>
      <c r="AB161" s="213"/>
      <c r="AC161" s="755"/>
      <c r="AD161" s="348" t="s">
        <v>137</v>
      </c>
      <c r="AE161" s="349" t="s">
        <v>138</v>
      </c>
      <c r="AF161" s="349" t="s">
        <v>139</v>
      </c>
      <c r="AG161" s="349" t="s">
        <v>140</v>
      </c>
      <c r="AH161" s="349" t="s">
        <v>141</v>
      </c>
      <c r="AI161" s="349" t="s">
        <v>142</v>
      </c>
      <c r="AJ161" s="349" t="s">
        <v>143</v>
      </c>
      <c r="AK161" s="349" t="s">
        <v>144</v>
      </c>
      <c r="AL161" s="349" t="s">
        <v>145</v>
      </c>
      <c r="AM161" s="349" t="s">
        <v>146</v>
      </c>
      <c r="AN161" s="350" t="s">
        <v>116</v>
      </c>
      <c r="AO161" s="512"/>
      <c r="AP161" s="358" t="s">
        <v>137</v>
      </c>
      <c r="AQ161" s="359" t="s">
        <v>138</v>
      </c>
      <c r="AR161" s="359" t="s">
        <v>139</v>
      </c>
      <c r="AS161" s="359" t="s">
        <v>140</v>
      </c>
      <c r="AT161" s="359" t="s">
        <v>141</v>
      </c>
      <c r="AU161" s="359" t="s">
        <v>142</v>
      </c>
      <c r="AV161" s="359" t="s">
        <v>143</v>
      </c>
      <c r="AW161" s="359" t="s">
        <v>144</v>
      </c>
      <c r="AX161" s="359" t="s">
        <v>145</v>
      </c>
      <c r="AY161" s="359" t="s">
        <v>146</v>
      </c>
      <c r="AZ161" s="353" t="s">
        <v>147</v>
      </c>
      <c r="BA161" s="360"/>
      <c r="BB161" s="183" t="s">
        <v>259</v>
      </c>
      <c r="BC161" s="184"/>
      <c r="BD161" s="713"/>
      <c r="BE161" s="714"/>
      <c r="BF161" s="714"/>
      <c r="BG161" s="714"/>
      <c r="BH161" s="714"/>
      <c r="BI161" s="714"/>
      <c r="BJ161" s="714"/>
      <c r="BK161" s="714"/>
      <c r="BL161" s="714"/>
      <c r="BM161" s="714"/>
      <c r="BN161" s="714"/>
      <c r="BO161" s="714"/>
      <c r="BP161" s="714"/>
      <c r="BQ161" s="714"/>
      <c r="BR161" s="715"/>
      <c r="BU161" s="22"/>
      <c r="BV161" s="22"/>
      <c r="BW161" s="22"/>
      <c r="BX161" s="22"/>
      <c r="BY161" s="22"/>
      <c r="BZ161" s="22"/>
      <c r="CA161" s="22"/>
      <c r="CB161" s="22"/>
      <c r="CC161" s="22"/>
      <c r="CD161" s="195"/>
    </row>
    <row r="162" spans="2:83" ht="25.5" customHeight="1" x14ac:dyDescent="0.25">
      <c r="B162" s="753" t="s">
        <v>260</v>
      </c>
      <c r="C162" s="753"/>
      <c r="D162" s="657"/>
      <c r="E162" s="658"/>
      <c r="F162" s="658"/>
      <c r="G162" s="658"/>
      <c r="H162" s="658"/>
      <c r="I162" s="658"/>
      <c r="J162" s="658"/>
      <c r="K162" s="658"/>
      <c r="L162" s="658"/>
      <c r="M162" s="658"/>
      <c r="N162" s="658"/>
      <c r="O162" s="658"/>
      <c r="P162" s="659"/>
      <c r="Q162" s="208"/>
      <c r="R162" s="208"/>
      <c r="S162" s="208"/>
      <c r="T162" s="208"/>
      <c r="U162" s="208"/>
      <c r="V162" s="208"/>
      <c r="W162" s="208"/>
      <c r="X162" s="208"/>
      <c r="Y162" s="208"/>
      <c r="Z162" s="208"/>
      <c r="AA162" s="208"/>
      <c r="AB162" s="208"/>
      <c r="AC162" s="756"/>
      <c r="AD162" s="267"/>
      <c r="AE162" s="266"/>
      <c r="AF162" s="266"/>
      <c r="AG162" s="266"/>
      <c r="AH162" s="266"/>
      <c r="AI162" s="266"/>
      <c r="AJ162" s="266"/>
      <c r="AK162" s="266"/>
      <c r="AL162" s="266"/>
      <c r="AM162" s="266"/>
      <c r="AN162" s="786">
        <f>SUM(AD162:AD164,AE162:AE164,AF162:AF164,AG162:AG164,AH162:AH164,AI162:AI164,AJ162:AJ164,AK162:AK164,AL162:AL164,AM162:AM164)</f>
        <v>0</v>
      </c>
      <c r="AO162" s="736">
        <f>DomesticTravelTOT+AZ162</f>
        <v>0</v>
      </c>
      <c r="AP162" s="532"/>
      <c r="AQ162" s="265"/>
      <c r="AR162" s="265"/>
      <c r="AS162" s="265"/>
      <c r="AT162" s="265"/>
      <c r="AU162" s="265"/>
      <c r="AV162" s="265"/>
      <c r="AW162" s="265"/>
      <c r="AX162" s="265"/>
      <c r="AY162" s="265"/>
      <c r="AZ162" s="818">
        <f>SUM(AP162:AP164,AQ162:AQ164,AR162:AR164,AS162:AS164,AT162:AT164,AU162:AU164,AV162:AV164,AW162:AW164,AX162:AX164,AY162:AY164)</f>
        <v>0</v>
      </c>
      <c r="BA162" s="210"/>
      <c r="BB162" s="178" t="s">
        <v>260</v>
      </c>
      <c r="BC162" s="179"/>
      <c r="BD162" s="704"/>
      <c r="BE162" s="705"/>
      <c r="BF162" s="705"/>
      <c r="BG162" s="705"/>
      <c r="BH162" s="705"/>
      <c r="BI162" s="705"/>
      <c r="BJ162" s="705"/>
      <c r="BK162" s="705"/>
      <c r="BL162" s="705"/>
      <c r="BM162" s="705"/>
      <c r="BN162" s="705"/>
      <c r="BO162" s="705"/>
      <c r="BP162" s="705"/>
      <c r="BQ162" s="705"/>
      <c r="BR162" s="706"/>
      <c r="BS162" s="24"/>
      <c r="BT162" s="24"/>
      <c r="BU162" s="24"/>
      <c r="BV162" s="24"/>
      <c r="BW162" s="24"/>
      <c r="BX162" s="24"/>
      <c r="BY162" s="24"/>
      <c r="BZ162" s="24"/>
      <c r="CA162" s="24"/>
      <c r="CB162" s="24"/>
      <c r="CC162" s="24"/>
      <c r="CD162" s="149"/>
    </row>
    <row r="163" spans="2:83" ht="25.5" customHeight="1" x14ac:dyDescent="0.25">
      <c r="B163" s="753"/>
      <c r="C163" s="753"/>
      <c r="D163" s="762"/>
      <c r="E163" s="763"/>
      <c r="F163" s="763"/>
      <c r="G163" s="763"/>
      <c r="H163" s="763"/>
      <c r="I163" s="763"/>
      <c r="J163" s="763"/>
      <c r="K163" s="763"/>
      <c r="L163" s="763"/>
      <c r="M163" s="763"/>
      <c r="N163" s="763"/>
      <c r="O163" s="763"/>
      <c r="P163" s="764"/>
      <c r="Q163" s="208"/>
      <c r="R163" s="208"/>
      <c r="S163" s="208"/>
      <c r="T163" s="208"/>
      <c r="U163" s="208"/>
      <c r="V163" s="208"/>
      <c r="W163" s="208"/>
      <c r="X163" s="208"/>
      <c r="Y163" s="208"/>
      <c r="Z163" s="208"/>
      <c r="AA163" s="208"/>
      <c r="AB163" s="208"/>
      <c r="AC163" s="756"/>
      <c r="AD163" s="267"/>
      <c r="AE163" s="266"/>
      <c r="AF163" s="266"/>
      <c r="AG163" s="266"/>
      <c r="AH163" s="266"/>
      <c r="AI163" s="266"/>
      <c r="AJ163" s="266"/>
      <c r="AK163" s="266"/>
      <c r="AL163" s="266"/>
      <c r="AM163" s="266"/>
      <c r="AN163" s="786"/>
      <c r="AO163" s="736"/>
      <c r="AP163" s="529"/>
      <c r="AQ163" s="265"/>
      <c r="AR163" s="265"/>
      <c r="AS163" s="265"/>
      <c r="AT163" s="265"/>
      <c r="AU163" s="265"/>
      <c r="AV163" s="265"/>
      <c r="AW163" s="265"/>
      <c r="AX163" s="265"/>
      <c r="AY163" s="265"/>
      <c r="AZ163" s="816"/>
      <c r="BA163" s="210"/>
      <c r="BB163" s="140"/>
      <c r="BC163" s="181"/>
      <c r="BD163" s="704"/>
      <c r="BE163" s="705"/>
      <c r="BF163" s="705"/>
      <c r="BG163" s="705"/>
      <c r="BH163" s="705"/>
      <c r="BI163" s="705"/>
      <c r="BJ163" s="705"/>
      <c r="BK163" s="705"/>
      <c r="BL163" s="705"/>
      <c r="BM163" s="705"/>
      <c r="BN163" s="705"/>
      <c r="BO163" s="705"/>
      <c r="BP163" s="705"/>
      <c r="BQ163" s="705"/>
      <c r="BR163" s="706"/>
      <c r="BS163" s="24"/>
      <c r="BT163" s="24"/>
      <c r="BU163" s="24"/>
      <c r="BV163" s="24"/>
      <c r="BW163" s="24"/>
      <c r="BX163" s="24"/>
      <c r="BY163" s="24"/>
      <c r="BZ163" s="24"/>
      <c r="CA163" s="24"/>
      <c r="CB163" s="24"/>
      <c r="CC163" s="24"/>
      <c r="CD163" s="149"/>
    </row>
    <row r="164" spans="2:83" ht="25.5" customHeight="1" thickBot="1" x14ac:dyDescent="0.3">
      <c r="B164" s="754"/>
      <c r="C164" s="754"/>
      <c r="D164" s="774"/>
      <c r="E164" s="775"/>
      <c r="F164" s="775"/>
      <c r="G164" s="775"/>
      <c r="H164" s="775"/>
      <c r="I164" s="775"/>
      <c r="J164" s="775"/>
      <c r="K164" s="775"/>
      <c r="L164" s="775"/>
      <c r="M164" s="775"/>
      <c r="N164" s="775"/>
      <c r="O164" s="775"/>
      <c r="P164" s="776"/>
      <c r="Q164" s="208"/>
      <c r="R164" s="208"/>
      <c r="S164" s="208"/>
      <c r="T164" s="208"/>
      <c r="U164" s="208"/>
      <c r="V164" s="208"/>
      <c r="W164" s="208"/>
      <c r="X164" s="208"/>
      <c r="Y164" s="208"/>
      <c r="Z164" s="208"/>
      <c r="AA164" s="208"/>
      <c r="AB164" s="208"/>
      <c r="AC164" s="756"/>
      <c r="AD164" s="268"/>
      <c r="AE164" s="269"/>
      <c r="AF164" s="269"/>
      <c r="AG164" s="269"/>
      <c r="AH164" s="269"/>
      <c r="AI164" s="269"/>
      <c r="AJ164" s="269"/>
      <c r="AK164" s="269"/>
      <c r="AL164" s="269"/>
      <c r="AM164" s="269"/>
      <c r="AN164" s="787"/>
      <c r="AO164" s="736"/>
      <c r="AP164" s="533"/>
      <c r="AQ164" s="275"/>
      <c r="AR164" s="275"/>
      <c r="AS164" s="275"/>
      <c r="AT164" s="275"/>
      <c r="AU164" s="275"/>
      <c r="AV164" s="275"/>
      <c r="AW164" s="275"/>
      <c r="AX164" s="275"/>
      <c r="AY164" s="275"/>
      <c r="AZ164" s="816"/>
      <c r="BA164" s="210"/>
      <c r="BB164" s="209"/>
      <c r="BC164" s="182"/>
      <c r="BD164" s="710"/>
      <c r="BE164" s="711"/>
      <c r="BF164" s="711"/>
      <c r="BG164" s="711"/>
      <c r="BH164" s="711"/>
      <c r="BI164" s="711"/>
      <c r="BJ164" s="711"/>
      <c r="BK164" s="711"/>
      <c r="BL164" s="711"/>
      <c r="BM164" s="711"/>
      <c r="BN164" s="711"/>
      <c r="BO164" s="711"/>
      <c r="BP164" s="711"/>
      <c r="BQ164" s="711"/>
      <c r="BR164" s="712"/>
      <c r="BS164" s="24"/>
      <c r="BT164" s="24"/>
      <c r="BU164" s="24"/>
      <c r="BV164" s="24"/>
      <c r="BW164" s="24"/>
      <c r="BX164" s="24"/>
      <c r="BY164" s="24"/>
      <c r="BZ164" s="24"/>
      <c r="CA164" s="24"/>
      <c r="CB164" s="24"/>
      <c r="CC164" s="24"/>
      <c r="CD164" s="149"/>
    </row>
    <row r="165" spans="2:83" ht="25.5" customHeight="1" x14ac:dyDescent="0.25">
      <c r="B165" s="795" t="s">
        <v>261</v>
      </c>
      <c r="C165" s="795"/>
      <c r="D165" s="777"/>
      <c r="E165" s="757"/>
      <c r="F165" s="757"/>
      <c r="G165" s="757"/>
      <c r="H165" s="757"/>
      <c r="I165" s="757"/>
      <c r="J165" s="757"/>
      <c r="K165" s="757"/>
      <c r="L165" s="757"/>
      <c r="M165" s="757"/>
      <c r="N165" s="757"/>
      <c r="O165" s="757"/>
      <c r="P165" s="778"/>
      <c r="Q165" s="208"/>
      <c r="R165" s="208"/>
      <c r="S165" s="208"/>
      <c r="T165" s="208"/>
      <c r="U165" s="208"/>
      <c r="V165" s="208"/>
      <c r="W165" s="208"/>
      <c r="X165" s="208"/>
      <c r="Y165" s="208"/>
      <c r="Z165" s="208"/>
      <c r="AA165" s="208"/>
      <c r="AB165" s="208"/>
      <c r="AC165" s="757"/>
      <c r="AD165" s="270"/>
      <c r="AE165" s="271"/>
      <c r="AF165" s="271"/>
      <c r="AG165" s="266"/>
      <c r="AH165" s="266"/>
      <c r="AI165" s="266"/>
      <c r="AJ165" s="266"/>
      <c r="AK165" s="266"/>
      <c r="AL165" s="266"/>
      <c r="AM165" s="266"/>
      <c r="AN165" s="788">
        <f>SUM(AD165:AD167,AE165:AE167,AF165:AF167,AG165:AG167,AH165:AH167,AI165:AI167,AJ165:AJ167,AK165:AK167,AL165:AL167,AM165:AM167)</f>
        <v>0</v>
      </c>
      <c r="AO165" s="736">
        <f>InternatTravelTOT+AZ165</f>
        <v>0</v>
      </c>
      <c r="AP165" s="531"/>
      <c r="AQ165" s="276"/>
      <c r="AR165" s="276"/>
      <c r="AS165" s="265"/>
      <c r="AT165" s="265"/>
      <c r="AU165" s="265"/>
      <c r="AV165" s="265"/>
      <c r="AW165" s="265"/>
      <c r="AX165" s="265"/>
      <c r="AY165" s="265"/>
      <c r="AZ165" s="815">
        <f>SUM(AP165:AP167,AQ165:AQ167,AR165:AR167,AS165:AS167,AT165:AT167,AU165:AU167,AV165:AV167,AW165:AW167,AX165:AX167,AY165:AY167)</f>
        <v>0</v>
      </c>
      <c r="BA165" s="210"/>
      <c r="BB165" s="24" t="s">
        <v>261</v>
      </c>
      <c r="BC165" s="180"/>
      <c r="BD165" s="707"/>
      <c r="BE165" s="708"/>
      <c r="BF165" s="708"/>
      <c r="BG165" s="708"/>
      <c r="BH165" s="708"/>
      <c r="BI165" s="708"/>
      <c r="BJ165" s="708"/>
      <c r="BK165" s="708"/>
      <c r="BL165" s="708"/>
      <c r="BM165" s="708"/>
      <c r="BN165" s="708"/>
      <c r="BO165" s="708"/>
      <c r="BP165" s="708"/>
      <c r="BQ165" s="708"/>
      <c r="BR165" s="709"/>
      <c r="BS165" s="24"/>
      <c r="BT165" s="24"/>
      <c r="BU165" s="24"/>
      <c r="BV165" s="24"/>
      <c r="BW165" s="24"/>
      <c r="BX165" s="24"/>
      <c r="BY165" s="24"/>
      <c r="BZ165" s="24"/>
      <c r="CA165" s="24"/>
      <c r="CB165" s="24"/>
      <c r="CC165" s="24"/>
      <c r="CD165" s="149"/>
    </row>
    <row r="166" spans="2:83" ht="25.5" customHeight="1" x14ac:dyDescent="0.25">
      <c r="B166" s="753"/>
      <c r="C166" s="753"/>
      <c r="D166" s="657"/>
      <c r="E166" s="658"/>
      <c r="F166" s="658"/>
      <c r="G166" s="658"/>
      <c r="H166" s="658"/>
      <c r="I166" s="658"/>
      <c r="J166" s="658"/>
      <c r="K166" s="658"/>
      <c r="L166" s="658"/>
      <c r="M166" s="658"/>
      <c r="N166" s="658"/>
      <c r="O166" s="658"/>
      <c r="P166" s="659"/>
      <c r="Q166" s="208"/>
      <c r="R166" s="208"/>
      <c r="S166" s="208"/>
      <c r="T166" s="208"/>
      <c r="U166" s="208"/>
      <c r="V166" s="208"/>
      <c r="W166" s="208"/>
      <c r="X166" s="208"/>
      <c r="Y166" s="208"/>
      <c r="Z166" s="208"/>
      <c r="AA166" s="208"/>
      <c r="AB166" s="208"/>
      <c r="AC166" s="757"/>
      <c r="AD166" s="267"/>
      <c r="AE166" s="266"/>
      <c r="AF166" s="266"/>
      <c r="AG166" s="266"/>
      <c r="AH166" s="266"/>
      <c r="AI166" s="266"/>
      <c r="AJ166" s="266"/>
      <c r="AK166" s="266"/>
      <c r="AL166" s="266"/>
      <c r="AM166" s="266"/>
      <c r="AN166" s="786"/>
      <c r="AO166" s="736"/>
      <c r="AP166" s="529"/>
      <c r="AQ166" s="265"/>
      <c r="AR166" s="265"/>
      <c r="AS166" s="265"/>
      <c r="AT166" s="265"/>
      <c r="AU166" s="265"/>
      <c r="AV166" s="265"/>
      <c r="AW166" s="265"/>
      <c r="AX166" s="265"/>
      <c r="AY166" s="265"/>
      <c r="AZ166" s="816"/>
      <c r="BA166" s="210"/>
      <c r="BB166" s="140"/>
      <c r="BC166" s="181"/>
      <c r="BD166" s="704"/>
      <c r="BE166" s="705"/>
      <c r="BF166" s="705"/>
      <c r="BG166" s="705"/>
      <c r="BH166" s="705"/>
      <c r="BI166" s="705"/>
      <c r="BJ166" s="705"/>
      <c r="BK166" s="705"/>
      <c r="BL166" s="705"/>
      <c r="BM166" s="705"/>
      <c r="BN166" s="705"/>
      <c r="BO166" s="705"/>
      <c r="BP166" s="705"/>
      <c r="BQ166" s="705"/>
      <c r="BR166" s="706"/>
      <c r="BS166" s="24"/>
      <c r="BT166" s="24"/>
      <c r="BU166" s="24"/>
      <c r="BV166" s="24"/>
      <c r="BW166" s="24"/>
      <c r="BX166" s="24"/>
      <c r="BY166" s="24"/>
      <c r="BZ166" s="24"/>
      <c r="CA166" s="24"/>
      <c r="CB166" s="24"/>
      <c r="CC166" s="24"/>
      <c r="CD166" s="149"/>
    </row>
    <row r="167" spans="2:83" ht="25.5" customHeight="1" x14ac:dyDescent="0.25">
      <c r="B167" s="754"/>
      <c r="C167" s="754"/>
      <c r="D167" s="657"/>
      <c r="E167" s="658"/>
      <c r="F167" s="658"/>
      <c r="G167" s="658"/>
      <c r="H167" s="658"/>
      <c r="I167" s="658"/>
      <c r="J167" s="658"/>
      <c r="K167" s="658"/>
      <c r="L167" s="658"/>
      <c r="M167" s="658"/>
      <c r="N167" s="658"/>
      <c r="O167" s="658"/>
      <c r="P167" s="659"/>
      <c r="Q167" s="208"/>
      <c r="R167" s="208"/>
      <c r="S167" s="208"/>
      <c r="T167" s="208"/>
      <c r="U167" s="208"/>
      <c r="V167" s="208"/>
      <c r="W167" s="208"/>
      <c r="X167" s="208"/>
      <c r="Y167" s="208"/>
      <c r="Z167" s="208"/>
      <c r="AA167" s="208"/>
      <c r="AB167" s="208"/>
      <c r="AC167" s="757"/>
      <c r="AD167" s="267"/>
      <c r="AE167" s="266"/>
      <c r="AF167" s="266"/>
      <c r="AG167" s="266"/>
      <c r="AH167" s="266"/>
      <c r="AI167" s="266"/>
      <c r="AJ167" s="266"/>
      <c r="AK167" s="266"/>
      <c r="AL167" s="266"/>
      <c r="AM167" s="266"/>
      <c r="AN167" s="786"/>
      <c r="AO167" s="736"/>
      <c r="AP167" s="529"/>
      <c r="AQ167" s="265"/>
      <c r="AR167" s="265"/>
      <c r="AS167" s="265"/>
      <c r="AT167" s="265"/>
      <c r="AU167" s="265"/>
      <c r="AV167" s="265"/>
      <c r="AW167" s="265"/>
      <c r="AX167" s="265"/>
      <c r="AY167" s="265"/>
      <c r="AZ167" s="817"/>
      <c r="BA167" s="210"/>
      <c r="BC167" s="8"/>
      <c r="BD167" s="701"/>
      <c r="BE167" s="702"/>
      <c r="BF167" s="702"/>
      <c r="BG167" s="702"/>
      <c r="BH167" s="702"/>
      <c r="BI167" s="702"/>
      <c r="BJ167" s="702"/>
      <c r="BK167" s="702"/>
      <c r="BL167" s="702"/>
      <c r="BM167" s="702"/>
      <c r="BN167" s="702"/>
      <c r="BO167" s="702"/>
      <c r="BP167" s="702"/>
      <c r="BQ167" s="702"/>
      <c r="BR167" s="703"/>
      <c r="BS167" s="24"/>
      <c r="BT167" s="24"/>
      <c r="BU167" s="24"/>
      <c r="BV167" s="24"/>
      <c r="BW167" s="24"/>
      <c r="BX167" s="24"/>
      <c r="BY167" s="24"/>
      <c r="BZ167" s="24"/>
      <c r="CA167" s="24"/>
      <c r="CB167" s="24"/>
      <c r="CC167" s="24"/>
      <c r="CD167" s="149"/>
    </row>
    <row r="168" spans="2:83" ht="39.75" customHeight="1" thickBot="1" x14ac:dyDescent="0.3">
      <c r="B168" s="780" t="s">
        <v>262</v>
      </c>
      <c r="C168" s="780"/>
      <c r="D168" s="780"/>
      <c r="E168" s="780"/>
      <c r="F168" s="780"/>
      <c r="G168" s="780"/>
      <c r="H168" s="780"/>
      <c r="I168" s="780"/>
      <c r="J168" s="328"/>
      <c r="K168" s="328"/>
      <c r="L168" s="328"/>
      <c r="M168" s="328"/>
      <c r="N168" s="328"/>
      <c r="O168" s="328"/>
      <c r="P168" s="328"/>
      <c r="Q168" s="328"/>
      <c r="R168" s="328"/>
      <c r="S168" s="328"/>
      <c r="T168" s="328"/>
      <c r="U168" s="328"/>
      <c r="V168" s="328"/>
      <c r="W168" s="328"/>
      <c r="X168" s="328"/>
      <c r="Y168" s="328"/>
      <c r="Z168" s="328"/>
      <c r="AA168" s="328"/>
      <c r="AB168" s="328"/>
      <c r="AC168" s="328"/>
      <c r="AD168" s="336">
        <f>SUM(AD162:AD164,AD165:AD167)</f>
        <v>0</v>
      </c>
      <c r="AE168" s="336">
        <f>SUM(AE162:AE164,AE165:AE167)</f>
        <v>0</v>
      </c>
      <c r="AF168" s="337">
        <f>SUM(AF162:AF164,AF165:AF167)</f>
        <v>0</v>
      </c>
      <c r="AG168" s="337">
        <f>SUM(AG162:AG164,AG165:AG167)</f>
        <v>0</v>
      </c>
      <c r="AH168" s="337">
        <f>SUM(AH162:AH164,AH165:AH167)</f>
        <v>0</v>
      </c>
      <c r="AI168" s="337">
        <f t="shared" ref="AI168:AM168" si="216">SUM(AI162:AI164,AI165:AI167)</f>
        <v>0</v>
      </c>
      <c r="AJ168" s="337">
        <f t="shared" si="216"/>
        <v>0</v>
      </c>
      <c r="AK168" s="337">
        <f t="shared" si="216"/>
        <v>0</v>
      </c>
      <c r="AL168" s="337">
        <f t="shared" si="216"/>
        <v>0</v>
      </c>
      <c r="AM168" s="337">
        <f t="shared" si="216"/>
        <v>0</v>
      </c>
      <c r="AN168" s="522">
        <f>SUM(DomesticTravelTOT,InternatTravelTOT)</f>
        <v>0</v>
      </c>
      <c r="AO168" s="512">
        <f>TravelTOT+AZ168</f>
        <v>0</v>
      </c>
      <c r="AP168" s="595">
        <f>SUM(AP162:AP167)</f>
        <v>0</v>
      </c>
      <c r="AQ168" s="594">
        <f>SUM(AQ162:AQ167)</f>
        <v>0</v>
      </c>
      <c r="AR168" s="594">
        <f>SUM(AR162:AR167)</f>
        <v>0</v>
      </c>
      <c r="AS168" s="594">
        <f>SUM(AS162:AS167)</f>
        <v>0</v>
      </c>
      <c r="AT168" s="594">
        <f>SUM(AT162:AT167)</f>
        <v>0</v>
      </c>
      <c r="AU168" s="594">
        <f t="shared" ref="AU168:AY168" si="217">SUM(AU162:AU167)</f>
        <v>0</v>
      </c>
      <c r="AV168" s="594">
        <f t="shared" si="217"/>
        <v>0</v>
      </c>
      <c r="AW168" s="594">
        <f t="shared" si="217"/>
        <v>0</v>
      </c>
      <c r="AX168" s="594">
        <f t="shared" si="217"/>
        <v>0</v>
      </c>
      <c r="AY168" s="594">
        <f t="shared" si="217"/>
        <v>0</v>
      </c>
      <c r="AZ168" s="593">
        <f>SUM(AP168:AT168)</f>
        <v>0</v>
      </c>
      <c r="BA168" s="379"/>
      <c r="BB168" s="825" t="s">
        <v>262</v>
      </c>
      <c r="BC168" s="825"/>
      <c r="BD168" s="825"/>
      <c r="BE168" s="825"/>
      <c r="BF168" s="825"/>
      <c r="BG168" s="825"/>
      <c r="BH168" s="825"/>
      <c r="BI168" s="825"/>
      <c r="BJ168" s="825"/>
      <c r="BK168" s="825"/>
      <c r="BL168" s="825"/>
      <c r="BM168" s="825"/>
      <c r="BN168" s="825"/>
      <c r="BO168" s="825"/>
      <c r="BP168" s="825"/>
      <c r="BQ168" s="825"/>
      <c r="BR168" s="825"/>
      <c r="BS168" s="825"/>
      <c r="BT168" s="825"/>
      <c r="BU168" s="825"/>
      <c r="BV168" s="825"/>
      <c r="BW168" s="825"/>
      <c r="BX168" s="825"/>
      <c r="BY168" s="825"/>
      <c r="BZ168" s="825"/>
      <c r="CA168" s="825"/>
      <c r="CB168" s="825"/>
      <c r="CC168" s="825"/>
      <c r="CD168" s="826"/>
      <c r="CE168" s="28"/>
    </row>
    <row r="169" spans="2:83" ht="52.5" customHeight="1" thickBot="1" x14ac:dyDescent="0.35">
      <c r="B169" s="738" t="s">
        <v>263</v>
      </c>
      <c r="C169" s="738"/>
      <c r="D169" s="738"/>
      <c r="E169" s="738"/>
      <c r="F169" s="738"/>
      <c r="G169" s="738"/>
      <c r="H169" s="738"/>
      <c r="I169" s="738"/>
      <c r="J169" s="738"/>
      <c r="K169" s="738"/>
      <c r="L169" s="738"/>
      <c r="M169" s="738"/>
      <c r="N169" s="738"/>
      <c r="O169" s="738"/>
      <c r="P169" s="738"/>
      <c r="Q169" s="738"/>
      <c r="R169" s="738"/>
      <c r="S169" s="738"/>
      <c r="T169" s="738"/>
      <c r="U169" s="738"/>
      <c r="V169" s="738"/>
      <c r="W169" s="738"/>
      <c r="X169" s="738"/>
      <c r="Y169" s="738"/>
      <c r="Z169" s="738"/>
      <c r="AA169" s="738"/>
      <c r="AB169" s="738"/>
      <c r="AC169" s="738"/>
      <c r="AD169" s="738"/>
      <c r="AE169" s="738"/>
      <c r="AF169" s="738"/>
      <c r="AG169" s="738"/>
      <c r="AH169" s="738"/>
      <c r="AI169" s="738"/>
      <c r="AJ169" s="738"/>
      <c r="AK169" s="738"/>
      <c r="AL169" s="738"/>
      <c r="AM169" s="738"/>
      <c r="AN169" s="749"/>
      <c r="AO169" s="511"/>
      <c r="AP169" s="672" t="s">
        <v>263</v>
      </c>
      <c r="AQ169" s="672"/>
      <c r="AR169" s="672"/>
      <c r="AS169" s="672"/>
      <c r="AT169" s="672"/>
      <c r="AU169" s="672"/>
      <c r="AV169" s="672"/>
      <c r="AW169" s="672"/>
      <c r="AX169" s="672"/>
      <c r="AY169" s="672"/>
      <c r="AZ169" s="672"/>
      <c r="BA169" s="672"/>
      <c r="BB169" s="672"/>
      <c r="BC169" s="672"/>
      <c r="BD169" s="672"/>
      <c r="BE169" s="672"/>
      <c r="BF169" s="672"/>
      <c r="BG169" s="672"/>
      <c r="BH169" s="672"/>
      <c r="BI169" s="672"/>
      <c r="BJ169" s="672"/>
      <c r="BK169" s="672"/>
      <c r="BL169" s="672"/>
      <c r="BM169" s="672"/>
      <c r="BN169" s="672"/>
      <c r="BO169" s="672"/>
      <c r="BP169" s="672"/>
      <c r="BQ169" s="672"/>
      <c r="BR169" s="672"/>
      <c r="BS169" s="672"/>
      <c r="BT169" s="672"/>
      <c r="BU169" s="672"/>
      <c r="BV169" s="672"/>
      <c r="BW169" s="672"/>
      <c r="BX169" s="672"/>
      <c r="BY169" s="672"/>
      <c r="BZ169" s="672"/>
      <c r="CA169" s="672"/>
      <c r="CB169" s="672"/>
      <c r="CC169" s="672"/>
      <c r="CD169" s="672"/>
    </row>
    <row r="170" spans="2:83" ht="62.25" customHeight="1" thickTop="1" x14ac:dyDescent="0.3">
      <c r="B170" s="784" t="s">
        <v>264</v>
      </c>
      <c r="C170" s="785"/>
      <c r="D170" s="785"/>
      <c r="E170" s="50" t="s">
        <v>265</v>
      </c>
      <c r="F170" s="50" t="s">
        <v>266</v>
      </c>
      <c r="G170" s="50" t="s">
        <v>267</v>
      </c>
      <c r="H170" s="50" t="s">
        <v>268</v>
      </c>
      <c r="I170" s="50" t="s">
        <v>269</v>
      </c>
      <c r="J170" s="50" t="s">
        <v>270</v>
      </c>
      <c r="K170" s="50" t="s">
        <v>271</v>
      </c>
      <c r="L170" s="50" t="s">
        <v>272</v>
      </c>
      <c r="M170" s="50" t="s">
        <v>273</v>
      </c>
      <c r="N170" s="50" t="s">
        <v>274</v>
      </c>
      <c r="O170" s="50" t="s">
        <v>275</v>
      </c>
      <c r="P170"/>
      <c r="Q170"/>
      <c r="R170" s="38"/>
      <c r="S170" s="38"/>
      <c r="T170" s="38"/>
      <c r="U170" s="38"/>
      <c r="V170" s="38"/>
      <c r="W170" s="38"/>
      <c r="X170" s="38"/>
      <c r="Y170" s="38"/>
      <c r="Z170" s="38"/>
      <c r="AA170" s="38"/>
      <c r="AB170" s="38"/>
      <c r="AC170" s="38"/>
      <c r="AD170" s="51" t="s">
        <v>137</v>
      </c>
      <c r="AE170" s="51" t="s">
        <v>138</v>
      </c>
      <c r="AF170" s="51" t="s">
        <v>139</v>
      </c>
      <c r="AG170" s="51" t="s">
        <v>140</v>
      </c>
      <c r="AH170" s="51" t="s">
        <v>141</v>
      </c>
      <c r="AI170" s="51" t="s">
        <v>142</v>
      </c>
      <c r="AJ170" s="51" t="s">
        <v>143</v>
      </c>
      <c r="AK170" s="51" t="s">
        <v>144</v>
      </c>
      <c r="AL170" s="51" t="s">
        <v>145</v>
      </c>
      <c r="AM170" s="51" t="s">
        <v>146</v>
      </c>
      <c r="AN170" s="521" t="s">
        <v>116</v>
      </c>
      <c r="AO170" s="512"/>
      <c r="AP170" s="64" t="s">
        <v>137</v>
      </c>
      <c r="AQ170" s="54" t="s">
        <v>138</v>
      </c>
      <c r="AR170" s="54" t="s">
        <v>139</v>
      </c>
      <c r="AS170" s="54" t="s">
        <v>140</v>
      </c>
      <c r="AT170" s="54" t="s">
        <v>141</v>
      </c>
      <c r="AU170" s="54" t="s">
        <v>142</v>
      </c>
      <c r="AV170" s="54" t="s">
        <v>143</v>
      </c>
      <c r="AW170" s="54" t="s">
        <v>144</v>
      </c>
      <c r="AX170" s="54" t="s">
        <v>145</v>
      </c>
      <c r="AY170" s="54" t="s">
        <v>146</v>
      </c>
      <c r="AZ170" s="357" t="s">
        <v>147</v>
      </c>
      <c r="BA170" s="356"/>
      <c r="BB170" s="176" t="s">
        <v>266</v>
      </c>
      <c r="BC170" s="176" t="s">
        <v>267</v>
      </c>
      <c r="BD170" s="176" t="s">
        <v>268</v>
      </c>
      <c r="BE170" s="176" t="s">
        <v>269</v>
      </c>
      <c r="BF170" s="176" t="s">
        <v>270</v>
      </c>
      <c r="BG170" s="176" t="s">
        <v>271</v>
      </c>
      <c r="BH170" s="176" t="s">
        <v>272</v>
      </c>
      <c r="BI170" s="176" t="s">
        <v>273</v>
      </c>
      <c r="BJ170" s="176" t="s">
        <v>274</v>
      </c>
      <c r="BK170" s="176" t="s">
        <v>275</v>
      </c>
      <c r="BL170" s="784"/>
      <c r="BM170" s="785"/>
      <c r="BN170" s="785"/>
      <c r="BO170" s="50" t="s">
        <v>265</v>
      </c>
      <c r="CE170" s="39"/>
    </row>
    <row r="171" spans="2:83" ht="30" customHeight="1" x14ac:dyDescent="0.25">
      <c r="B171" s="750" t="s">
        <v>276</v>
      </c>
      <c r="C171" s="751"/>
      <c r="D171" s="752"/>
      <c r="E171" s="266"/>
      <c r="F171" s="265"/>
      <c r="G171" s="265"/>
      <c r="H171" s="265"/>
      <c r="I171" s="265"/>
      <c r="J171" s="265"/>
      <c r="K171" s="265"/>
      <c r="L171" s="265"/>
      <c r="M171" s="265"/>
      <c r="N171" s="265"/>
      <c r="O171" s="265"/>
      <c r="P171"/>
      <c r="Q171"/>
      <c r="R171" s="38"/>
      <c r="S171" s="38"/>
      <c r="T171" s="38"/>
      <c r="U171" s="38"/>
      <c r="V171" s="38"/>
      <c r="W171" s="38"/>
      <c r="X171" s="38"/>
      <c r="Y171" s="38"/>
      <c r="Z171" s="38"/>
      <c r="AA171" s="38"/>
      <c r="AB171" s="38"/>
      <c r="AC171" s="38"/>
      <c r="AD171" s="27">
        <f>$E171*F171</f>
        <v>0</v>
      </c>
      <c r="AE171" s="27">
        <f>$E171*G171</f>
        <v>0</v>
      </c>
      <c r="AF171" s="27">
        <f>$E171*H171</f>
        <v>0</v>
      </c>
      <c r="AG171" s="27">
        <f>$E171*I171</f>
        <v>0</v>
      </c>
      <c r="AH171" s="27">
        <f>$E171*J171</f>
        <v>0</v>
      </c>
      <c r="AI171" s="27">
        <f t="shared" ref="AI171:AM175" si="218">$E171*K171</f>
        <v>0</v>
      </c>
      <c r="AJ171" s="27">
        <f t="shared" si="218"/>
        <v>0</v>
      </c>
      <c r="AK171" s="27">
        <f t="shared" si="218"/>
        <v>0</v>
      </c>
      <c r="AL171" s="27">
        <f t="shared" si="218"/>
        <v>0</v>
      </c>
      <c r="AM171" s="27">
        <f>$E171*O171</f>
        <v>0</v>
      </c>
      <c r="AN171" s="68">
        <f>SUM(AD171:AM171)</f>
        <v>0</v>
      </c>
      <c r="AO171" s="512">
        <f t="shared" ref="AO171:AO176" si="219">AN171+AZ171</f>
        <v>0</v>
      </c>
      <c r="AP171" s="530">
        <f>$BO171*BB171</f>
        <v>0</v>
      </c>
      <c r="AQ171" s="431">
        <f>$BO171*BC171</f>
        <v>0</v>
      </c>
      <c r="AR171" s="431">
        <f>$BO171*BD171</f>
        <v>0</v>
      </c>
      <c r="AS171" s="431">
        <f>$BO171*BE171</f>
        <v>0</v>
      </c>
      <c r="AT171" s="431">
        <f>$BO171*BF171</f>
        <v>0</v>
      </c>
      <c r="AU171" s="431">
        <f t="shared" ref="AU171:AY175" si="220">$BO171*BG171</f>
        <v>0</v>
      </c>
      <c r="AV171" s="431">
        <f t="shared" si="220"/>
        <v>0</v>
      </c>
      <c r="AW171" s="431">
        <f t="shared" si="220"/>
        <v>0</v>
      </c>
      <c r="AX171" s="431">
        <f t="shared" si="220"/>
        <v>0</v>
      </c>
      <c r="AY171" s="431">
        <f t="shared" si="220"/>
        <v>0</v>
      </c>
      <c r="AZ171" s="432">
        <f t="shared" ref="AZ171:AZ176" si="221">SUM(AP171:AT171)</f>
        <v>0</v>
      </c>
      <c r="BB171" s="265"/>
      <c r="BC171" s="265"/>
      <c r="BD171" s="265"/>
      <c r="BE171" s="265"/>
      <c r="BF171" s="265"/>
      <c r="BG171" s="265"/>
      <c r="BH171" s="265"/>
      <c r="BI171" s="265"/>
      <c r="BJ171" s="265"/>
      <c r="BK171" s="265"/>
      <c r="BL171" s="819" t="s">
        <v>276</v>
      </c>
      <c r="BM171" s="820"/>
      <c r="BN171" s="821"/>
      <c r="BO171" s="266">
        <v>1000</v>
      </c>
      <c r="CE171" s="28"/>
    </row>
    <row r="172" spans="2:83" ht="30" customHeight="1" outlineLevel="1" x14ac:dyDescent="0.25">
      <c r="B172" s="750" t="s">
        <v>277</v>
      </c>
      <c r="C172" s="751"/>
      <c r="D172" s="752"/>
      <c r="E172" s="266"/>
      <c r="F172" s="265"/>
      <c r="G172" s="265"/>
      <c r="H172" s="265"/>
      <c r="I172" s="265"/>
      <c r="J172" s="265"/>
      <c r="K172" s="265"/>
      <c r="L172" s="265"/>
      <c r="M172" s="265"/>
      <c r="N172" s="265"/>
      <c r="O172" s="265"/>
      <c r="P172"/>
      <c r="Q172"/>
      <c r="R172" s="38"/>
      <c r="S172" s="38"/>
      <c r="T172" s="38"/>
      <c r="U172" s="38"/>
      <c r="V172" s="38"/>
      <c r="W172" s="38"/>
      <c r="X172" s="38"/>
      <c r="Y172" s="38"/>
      <c r="Z172" s="38"/>
      <c r="AA172" s="38"/>
      <c r="AB172" s="38"/>
      <c r="AC172" s="38"/>
      <c r="AD172" s="27">
        <f t="shared" ref="AD172:AD175" si="222">$E172*F172</f>
        <v>0</v>
      </c>
      <c r="AE172" s="27">
        <f t="shared" ref="AE172:AH175" si="223">$E172*G172</f>
        <v>0</v>
      </c>
      <c r="AF172" s="27">
        <f t="shared" si="223"/>
        <v>0</v>
      </c>
      <c r="AG172" s="27">
        <f t="shared" si="223"/>
        <v>0</v>
      </c>
      <c r="AH172" s="27">
        <f t="shared" si="223"/>
        <v>0</v>
      </c>
      <c r="AI172" s="27">
        <f t="shared" si="218"/>
        <v>0</v>
      </c>
      <c r="AJ172" s="27">
        <f t="shared" si="218"/>
        <v>0</v>
      </c>
      <c r="AK172" s="27">
        <f t="shared" si="218"/>
        <v>0</v>
      </c>
      <c r="AL172" s="27">
        <f t="shared" si="218"/>
        <v>0</v>
      </c>
      <c r="AM172" s="27">
        <f t="shared" si="218"/>
        <v>0</v>
      </c>
      <c r="AN172" s="68">
        <f>SUM(AD172:AM172)</f>
        <v>0</v>
      </c>
      <c r="AO172" s="512">
        <f t="shared" si="219"/>
        <v>0</v>
      </c>
      <c r="AP172" s="530">
        <f>$BO172*BB172</f>
        <v>0</v>
      </c>
      <c r="AQ172" s="431">
        <f t="shared" ref="AQ172:AQ174" si="224">$BO172*BC172</f>
        <v>0</v>
      </c>
      <c r="AR172" s="431">
        <f t="shared" ref="AR172:AT175" si="225">$BO172*BD172</f>
        <v>0</v>
      </c>
      <c r="AS172" s="431">
        <f t="shared" si="225"/>
        <v>0</v>
      </c>
      <c r="AT172" s="431">
        <f t="shared" si="225"/>
        <v>0</v>
      </c>
      <c r="AU172" s="431">
        <f t="shared" si="220"/>
        <v>0</v>
      </c>
      <c r="AV172" s="431">
        <f t="shared" si="220"/>
        <v>0</v>
      </c>
      <c r="AW172" s="431">
        <f t="shared" si="220"/>
        <v>0</v>
      </c>
      <c r="AX172" s="431">
        <f t="shared" si="220"/>
        <v>0</v>
      </c>
      <c r="AY172" s="431">
        <f t="shared" si="220"/>
        <v>0</v>
      </c>
      <c r="AZ172" s="432">
        <f t="shared" si="221"/>
        <v>0</v>
      </c>
      <c r="BB172" s="265"/>
      <c r="BC172" s="265"/>
      <c r="BD172" s="265"/>
      <c r="BE172" s="265"/>
      <c r="BF172" s="265"/>
      <c r="BG172" s="265"/>
      <c r="BH172" s="265"/>
      <c r="BI172" s="265"/>
      <c r="BJ172" s="265"/>
      <c r="BK172" s="265"/>
      <c r="BL172" s="819" t="s">
        <v>277</v>
      </c>
      <c r="BM172" s="820"/>
      <c r="BN172" s="821"/>
      <c r="BO172" s="266">
        <v>2000</v>
      </c>
      <c r="CE172" s="28"/>
    </row>
    <row r="173" spans="2:83" ht="30" customHeight="1" outlineLevel="1" x14ac:dyDescent="0.25">
      <c r="B173" s="750" t="s">
        <v>278</v>
      </c>
      <c r="C173" s="751"/>
      <c r="D173" s="752"/>
      <c r="E173" s="266"/>
      <c r="F173" s="265"/>
      <c r="G173" s="265"/>
      <c r="H173" s="265"/>
      <c r="I173" s="265"/>
      <c r="J173" s="265"/>
      <c r="K173" s="265"/>
      <c r="L173" s="265"/>
      <c r="M173" s="265"/>
      <c r="N173" s="265"/>
      <c r="O173" s="265"/>
      <c r="P173"/>
      <c r="Q173"/>
      <c r="R173" s="38"/>
      <c r="S173" s="38"/>
      <c r="T173" s="38"/>
      <c r="U173" s="38"/>
      <c r="V173" s="38"/>
      <c r="W173" s="38"/>
      <c r="X173" s="38"/>
      <c r="Y173" s="38"/>
      <c r="Z173" s="38"/>
      <c r="AA173" s="38"/>
      <c r="AB173" s="38"/>
      <c r="AC173" s="38"/>
      <c r="AD173" s="27">
        <f t="shared" si="222"/>
        <v>0</v>
      </c>
      <c r="AE173" s="27">
        <f t="shared" si="223"/>
        <v>0</v>
      </c>
      <c r="AF173" s="27">
        <f t="shared" si="223"/>
        <v>0</v>
      </c>
      <c r="AG173" s="27">
        <f t="shared" si="223"/>
        <v>0</v>
      </c>
      <c r="AH173" s="27">
        <f t="shared" si="223"/>
        <v>0</v>
      </c>
      <c r="AI173" s="27">
        <f t="shared" si="218"/>
        <v>0</v>
      </c>
      <c r="AJ173" s="27">
        <f t="shared" si="218"/>
        <v>0</v>
      </c>
      <c r="AK173" s="27">
        <f t="shared" si="218"/>
        <v>0</v>
      </c>
      <c r="AL173" s="27">
        <f t="shared" si="218"/>
        <v>0</v>
      </c>
      <c r="AM173" s="27">
        <f t="shared" si="218"/>
        <v>0</v>
      </c>
      <c r="AN173" s="68">
        <f>SUM(AD173:AM173)</f>
        <v>0</v>
      </c>
      <c r="AO173" s="512">
        <f t="shared" si="219"/>
        <v>0</v>
      </c>
      <c r="AP173" s="530">
        <f t="shared" ref="AP173:AP175" si="226">$BO173*BB173</f>
        <v>0</v>
      </c>
      <c r="AQ173" s="431">
        <f t="shared" si="224"/>
        <v>0</v>
      </c>
      <c r="AR173" s="431">
        <f t="shared" si="225"/>
        <v>0</v>
      </c>
      <c r="AS173" s="431">
        <f t="shared" si="225"/>
        <v>0</v>
      </c>
      <c r="AT173" s="431">
        <f t="shared" si="225"/>
        <v>0</v>
      </c>
      <c r="AU173" s="431">
        <f t="shared" si="220"/>
        <v>0</v>
      </c>
      <c r="AV173" s="431">
        <f t="shared" si="220"/>
        <v>0</v>
      </c>
      <c r="AW173" s="431">
        <f t="shared" si="220"/>
        <v>0</v>
      </c>
      <c r="AX173" s="431">
        <f t="shared" si="220"/>
        <v>0</v>
      </c>
      <c r="AY173" s="431">
        <f t="shared" si="220"/>
        <v>0</v>
      </c>
      <c r="AZ173" s="432">
        <f t="shared" si="221"/>
        <v>0</v>
      </c>
      <c r="BB173" s="265"/>
      <c r="BC173" s="265"/>
      <c r="BD173" s="265"/>
      <c r="BE173" s="265"/>
      <c r="BF173" s="265"/>
      <c r="BG173" s="265"/>
      <c r="BH173" s="265"/>
      <c r="BI173" s="265"/>
      <c r="BJ173" s="265"/>
      <c r="BK173" s="265"/>
      <c r="BL173" s="819" t="s">
        <v>278</v>
      </c>
      <c r="BM173" s="820"/>
      <c r="BN173" s="821"/>
      <c r="BO173" s="266">
        <v>3000</v>
      </c>
      <c r="CE173" s="28"/>
    </row>
    <row r="174" spans="2:83" ht="30" customHeight="1" outlineLevel="1" x14ac:dyDescent="0.25">
      <c r="B174" s="750" t="s">
        <v>279</v>
      </c>
      <c r="C174" s="751"/>
      <c r="D174" s="752"/>
      <c r="E174" s="266"/>
      <c r="F174" s="265"/>
      <c r="G174" s="265"/>
      <c r="H174" s="265"/>
      <c r="I174" s="265"/>
      <c r="J174" s="265"/>
      <c r="K174" s="265"/>
      <c r="L174" s="265"/>
      <c r="M174" s="265"/>
      <c r="N174" s="265"/>
      <c r="O174" s="265"/>
      <c r="P174"/>
      <c r="Q174"/>
      <c r="R174" s="38"/>
      <c r="S174" s="38"/>
      <c r="T174" s="38"/>
      <c r="U174" s="38"/>
      <c r="V174" s="38"/>
      <c r="W174" s="38"/>
      <c r="X174" s="38"/>
      <c r="Y174" s="38"/>
      <c r="Z174" s="38"/>
      <c r="AA174" s="38"/>
      <c r="AB174" s="38"/>
      <c r="AC174" s="38"/>
      <c r="AD174" s="27">
        <f t="shared" si="222"/>
        <v>0</v>
      </c>
      <c r="AE174" s="27">
        <f t="shared" si="223"/>
        <v>0</v>
      </c>
      <c r="AF174" s="27">
        <f t="shared" si="223"/>
        <v>0</v>
      </c>
      <c r="AG174" s="27">
        <f t="shared" si="223"/>
        <v>0</v>
      </c>
      <c r="AH174" s="27">
        <f t="shared" si="223"/>
        <v>0</v>
      </c>
      <c r="AI174" s="27">
        <f t="shared" si="218"/>
        <v>0</v>
      </c>
      <c r="AJ174" s="27">
        <f t="shared" si="218"/>
        <v>0</v>
      </c>
      <c r="AK174" s="27">
        <f t="shared" si="218"/>
        <v>0</v>
      </c>
      <c r="AL174" s="27">
        <f t="shared" si="218"/>
        <v>0</v>
      </c>
      <c r="AM174" s="27">
        <f t="shared" si="218"/>
        <v>0</v>
      </c>
      <c r="AN174" s="68">
        <f>SUM(AD174:AM174)</f>
        <v>0</v>
      </c>
      <c r="AO174" s="512">
        <f t="shared" si="219"/>
        <v>0</v>
      </c>
      <c r="AP174" s="530">
        <f t="shared" si="226"/>
        <v>0</v>
      </c>
      <c r="AQ174" s="431">
        <f t="shared" si="224"/>
        <v>0</v>
      </c>
      <c r="AR174" s="431">
        <f t="shared" si="225"/>
        <v>0</v>
      </c>
      <c r="AS174" s="431">
        <f t="shared" si="225"/>
        <v>0</v>
      </c>
      <c r="AT174" s="431">
        <f t="shared" si="225"/>
        <v>0</v>
      </c>
      <c r="AU174" s="431">
        <f t="shared" si="220"/>
        <v>0</v>
      </c>
      <c r="AV174" s="431">
        <f t="shared" si="220"/>
        <v>0</v>
      </c>
      <c r="AW174" s="431">
        <f t="shared" si="220"/>
        <v>0</v>
      </c>
      <c r="AX174" s="431">
        <f t="shared" si="220"/>
        <v>0</v>
      </c>
      <c r="AY174" s="431">
        <f t="shared" si="220"/>
        <v>0</v>
      </c>
      <c r="AZ174" s="432">
        <f t="shared" si="221"/>
        <v>0</v>
      </c>
      <c r="BB174" s="265"/>
      <c r="BC174" s="265"/>
      <c r="BD174" s="265"/>
      <c r="BE174" s="265"/>
      <c r="BF174" s="265"/>
      <c r="BG174" s="265"/>
      <c r="BH174" s="265"/>
      <c r="BI174" s="265"/>
      <c r="BJ174" s="265"/>
      <c r="BK174" s="265"/>
      <c r="BL174" s="819" t="s">
        <v>279</v>
      </c>
      <c r="BM174" s="820"/>
      <c r="BN174" s="821"/>
      <c r="BO174" s="266">
        <v>4000</v>
      </c>
      <c r="CE174" s="28"/>
    </row>
    <row r="175" spans="2:83" ht="30" customHeight="1" outlineLevel="1" x14ac:dyDescent="0.25">
      <c r="B175" s="750" t="s">
        <v>280</v>
      </c>
      <c r="C175" s="751"/>
      <c r="D175" s="752"/>
      <c r="E175" s="266"/>
      <c r="F175" s="265"/>
      <c r="G175" s="265"/>
      <c r="H175" s="265"/>
      <c r="I175" s="265"/>
      <c r="J175" s="265"/>
      <c r="K175" s="265"/>
      <c r="L175" s="265"/>
      <c r="M175" s="265"/>
      <c r="N175" s="265"/>
      <c r="O175" s="265"/>
      <c r="P175"/>
      <c r="Q175"/>
      <c r="R175" s="38"/>
      <c r="S175" s="38"/>
      <c r="T175" s="38"/>
      <c r="U175" s="38"/>
      <c r="V175" s="38"/>
      <c r="W175" s="38"/>
      <c r="X175" s="38"/>
      <c r="Y175" s="38"/>
      <c r="Z175" s="38"/>
      <c r="AA175" s="38"/>
      <c r="AB175" s="38"/>
      <c r="AC175" s="38"/>
      <c r="AD175" s="27">
        <f t="shared" si="222"/>
        <v>0</v>
      </c>
      <c r="AE175" s="27">
        <f t="shared" si="223"/>
        <v>0</v>
      </c>
      <c r="AF175" s="27">
        <f t="shared" si="223"/>
        <v>0</v>
      </c>
      <c r="AG175" s="27">
        <f t="shared" si="223"/>
        <v>0</v>
      </c>
      <c r="AH175" s="27">
        <f t="shared" si="223"/>
        <v>0</v>
      </c>
      <c r="AI175" s="27">
        <f t="shared" si="218"/>
        <v>0</v>
      </c>
      <c r="AJ175" s="27">
        <f t="shared" si="218"/>
        <v>0</v>
      </c>
      <c r="AK175" s="27">
        <f t="shared" si="218"/>
        <v>0</v>
      </c>
      <c r="AL175" s="27">
        <f t="shared" si="218"/>
        <v>0</v>
      </c>
      <c r="AM175" s="27">
        <f t="shared" si="218"/>
        <v>0</v>
      </c>
      <c r="AN175" s="68">
        <f>SUM(AD175:AM175)</f>
        <v>0</v>
      </c>
      <c r="AO175" s="512">
        <f t="shared" si="219"/>
        <v>0</v>
      </c>
      <c r="AP175" s="530">
        <f t="shared" si="226"/>
        <v>0</v>
      </c>
      <c r="AQ175" s="431">
        <f>$BO175*BC175</f>
        <v>0</v>
      </c>
      <c r="AR175" s="431">
        <f t="shared" si="225"/>
        <v>0</v>
      </c>
      <c r="AS175" s="431">
        <f t="shared" si="225"/>
        <v>0</v>
      </c>
      <c r="AT175" s="431">
        <f t="shared" si="225"/>
        <v>0</v>
      </c>
      <c r="AU175" s="431">
        <f t="shared" si="220"/>
        <v>0</v>
      </c>
      <c r="AV175" s="431">
        <f t="shared" si="220"/>
        <v>0</v>
      </c>
      <c r="AW175" s="431">
        <f t="shared" si="220"/>
        <v>0</v>
      </c>
      <c r="AX175" s="431">
        <f t="shared" si="220"/>
        <v>0</v>
      </c>
      <c r="AY175" s="431">
        <f t="shared" si="220"/>
        <v>0</v>
      </c>
      <c r="AZ175" s="432">
        <f t="shared" si="221"/>
        <v>0</v>
      </c>
      <c r="BB175" s="265"/>
      <c r="BC175" s="265"/>
      <c r="BD175" s="265"/>
      <c r="BE175" s="265"/>
      <c r="BF175" s="265"/>
      <c r="BG175" s="265"/>
      <c r="BH175" s="265"/>
      <c r="BI175" s="265"/>
      <c r="BJ175" s="265"/>
      <c r="BK175" s="265"/>
      <c r="BL175" s="819" t="s">
        <v>280</v>
      </c>
      <c r="BM175" s="820"/>
      <c r="BN175" s="821"/>
      <c r="BO175" s="266">
        <v>5000</v>
      </c>
      <c r="CE175" s="28"/>
    </row>
    <row r="176" spans="2:83" ht="40.5" customHeight="1" thickBot="1" x14ac:dyDescent="0.3">
      <c r="B176" s="744" t="s">
        <v>281</v>
      </c>
      <c r="C176" s="744"/>
      <c r="D176" s="744"/>
      <c r="E176" s="744"/>
      <c r="F176" s="744"/>
      <c r="G176" s="744"/>
      <c r="H176" s="744"/>
      <c r="I176" s="744"/>
      <c r="J176" s="328"/>
      <c r="K176" s="328"/>
      <c r="L176" s="328"/>
      <c r="M176" s="328"/>
      <c r="N176" s="328"/>
      <c r="O176" s="328"/>
      <c r="P176" s="328"/>
      <c r="Q176" s="328"/>
      <c r="R176" s="328"/>
      <c r="S176" s="328"/>
      <c r="T176" s="328"/>
      <c r="U176" s="328"/>
      <c r="V176" s="328"/>
      <c r="W176" s="328"/>
      <c r="X176" s="328"/>
      <c r="Y176" s="328"/>
      <c r="Z176" s="328"/>
      <c r="AA176" s="328"/>
      <c r="AB176" s="328"/>
      <c r="AC176" s="328"/>
      <c r="AD176" s="336">
        <f t="shared" ref="AD176:AN176" si="227">SUM(AD171:AD175)</f>
        <v>0</v>
      </c>
      <c r="AE176" s="336">
        <f t="shared" si="227"/>
        <v>0</v>
      </c>
      <c r="AF176" s="338">
        <f t="shared" si="227"/>
        <v>0</v>
      </c>
      <c r="AG176" s="338">
        <f t="shared" si="227"/>
        <v>0</v>
      </c>
      <c r="AH176" s="338">
        <f t="shared" si="227"/>
        <v>0</v>
      </c>
      <c r="AI176" s="338">
        <f t="shared" si="227"/>
        <v>0</v>
      </c>
      <c r="AJ176" s="338">
        <f t="shared" si="227"/>
        <v>0</v>
      </c>
      <c r="AK176" s="338">
        <f t="shared" si="227"/>
        <v>0</v>
      </c>
      <c r="AL176" s="338">
        <f t="shared" si="227"/>
        <v>0</v>
      </c>
      <c r="AM176" s="338">
        <f t="shared" si="227"/>
        <v>0</v>
      </c>
      <c r="AN176" s="522">
        <f t="shared" si="227"/>
        <v>0</v>
      </c>
      <c r="AO176" s="512">
        <f t="shared" si="219"/>
        <v>0</v>
      </c>
      <c r="AP176" s="593">
        <f>SUM(AP171:AP175)</f>
        <v>0</v>
      </c>
      <c r="AQ176" s="594">
        <f>SUM(AQ171:AQ175)</f>
        <v>0</v>
      </c>
      <c r="AR176" s="594">
        <f>SUM(AR171:AR175)</f>
        <v>0</v>
      </c>
      <c r="AS176" s="594">
        <f>SUM(AS171:AS175)</f>
        <v>0</v>
      </c>
      <c r="AT176" s="594">
        <f>SUM(AT171:AT175)</f>
        <v>0</v>
      </c>
      <c r="AU176" s="594">
        <f t="shared" ref="AU176:AY176" si="228">SUM(AU171:AU175)</f>
        <v>0</v>
      </c>
      <c r="AV176" s="594">
        <f t="shared" si="228"/>
        <v>0</v>
      </c>
      <c r="AW176" s="594">
        <f t="shared" si="228"/>
        <v>0</v>
      </c>
      <c r="AX176" s="594">
        <f t="shared" si="228"/>
        <v>0</v>
      </c>
      <c r="AY176" s="594">
        <f t="shared" si="228"/>
        <v>0</v>
      </c>
      <c r="AZ176" s="593">
        <f t="shared" si="221"/>
        <v>0</v>
      </c>
      <c r="BA176" s="379"/>
      <c r="BB176" s="825" t="s">
        <v>281</v>
      </c>
      <c r="BC176" s="825"/>
      <c r="BD176" s="825"/>
      <c r="BE176" s="825"/>
      <c r="BF176" s="825"/>
      <c r="BG176" s="825"/>
      <c r="BH176" s="825"/>
      <c r="BI176" s="825"/>
      <c r="BJ176" s="825"/>
      <c r="BK176" s="825"/>
      <c r="BL176" s="825"/>
      <c r="BM176" s="825"/>
      <c r="BN176" s="825"/>
      <c r="BO176" s="825"/>
      <c r="BP176" s="825"/>
      <c r="BQ176" s="825"/>
      <c r="BR176" s="825"/>
      <c r="BS176" s="825"/>
      <c r="BT176" s="825"/>
      <c r="BU176" s="825"/>
      <c r="BV176" s="825"/>
      <c r="BW176" s="825"/>
      <c r="BX176" s="825"/>
      <c r="BY176" s="825"/>
      <c r="BZ176" s="825"/>
      <c r="CA176" s="825"/>
      <c r="CB176" s="825"/>
      <c r="CC176" s="825"/>
      <c r="CD176" s="826"/>
      <c r="CE176" s="28"/>
    </row>
    <row r="177" spans="1:82" ht="52.5" customHeight="1" thickBot="1" x14ac:dyDescent="0.3">
      <c r="B177" s="738" t="s">
        <v>282</v>
      </c>
      <c r="C177" s="738"/>
      <c r="D177" s="738"/>
      <c r="E177" s="738"/>
      <c r="F177" s="738"/>
      <c r="G177" s="738"/>
      <c r="H177" s="738"/>
      <c r="I177" s="738"/>
      <c r="J177" s="738"/>
      <c r="K177" s="738"/>
      <c r="L177" s="738"/>
      <c r="M177" s="738"/>
      <c r="N177" s="738"/>
      <c r="O177" s="738"/>
      <c r="P177" s="738"/>
      <c r="Q177" s="738"/>
      <c r="R177" s="738"/>
      <c r="S177" s="738"/>
      <c r="T177" s="738"/>
      <c r="U177" s="738"/>
      <c r="V177" s="738"/>
      <c r="W177" s="738"/>
      <c r="X177" s="738"/>
      <c r="Y177" s="738"/>
      <c r="Z177" s="738"/>
      <c r="AA177" s="738"/>
      <c r="AB177" s="738"/>
      <c r="AC177" s="738"/>
      <c r="AD177" s="738"/>
      <c r="AE177" s="738"/>
      <c r="AF177" s="738"/>
      <c r="AG177" s="738"/>
      <c r="AH177" s="738"/>
      <c r="AI177" s="738"/>
      <c r="AJ177" s="738"/>
      <c r="AK177" s="738"/>
      <c r="AL177" s="738"/>
      <c r="AM177" s="738"/>
      <c r="AN177" s="749"/>
      <c r="AO177" s="512"/>
      <c r="AP177" s="672" t="s">
        <v>282</v>
      </c>
      <c r="AQ177" s="672"/>
      <c r="AR177" s="672"/>
      <c r="AS177" s="672"/>
      <c r="AT177" s="672"/>
      <c r="AU177" s="672"/>
      <c r="AV177" s="672"/>
      <c r="AW177" s="672"/>
      <c r="AX177" s="672"/>
      <c r="AY177" s="672"/>
      <c r="AZ177" s="672"/>
      <c r="BA177" s="672"/>
      <c r="BB177" s="672"/>
      <c r="BC177" s="672"/>
      <c r="BD177" s="672"/>
      <c r="BE177" s="672"/>
      <c r="BF177" s="672"/>
      <c r="BG177" s="672"/>
      <c r="BH177" s="672"/>
      <c r="BI177" s="672"/>
      <c r="BJ177" s="672"/>
      <c r="BK177" s="672"/>
      <c r="BL177" s="672"/>
      <c r="BM177" s="672"/>
      <c r="BN177" s="672"/>
      <c r="BO177" s="672"/>
      <c r="BP177" s="672"/>
      <c r="BQ177" s="672"/>
      <c r="BR177" s="672"/>
      <c r="BS177" s="672"/>
      <c r="BT177" s="672"/>
      <c r="BU177" s="672"/>
      <c r="BV177" s="672"/>
      <c r="BW177" s="672"/>
      <c r="BX177" s="672"/>
      <c r="BY177" s="672"/>
      <c r="BZ177" s="672"/>
      <c r="CA177" s="672"/>
      <c r="CB177" s="672"/>
      <c r="CC177" s="672"/>
      <c r="CD177" s="672"/>
    </row>
    <row r="178" spans="1:82" ht="45.75" customHeight="1" thickTop="1" x14ac:dyDescent="0.3">
      <c r="B178" s="783" t="s">
        <v>283</v>
      </c>
      <c r="C178" s="783"/>
      <c r="D178" s="665" t="s">
        <v>254</v>
      </c>
      <c r="E178" s="665"/>
      <c r="F178" s="665"/>
      <c r="G178" s="665"/>
      <c r="H178" s="665"/>
      <c r="I178" s="665"/>
      <c r="J178" s="665"/>
      <c r="K178" s="665"/>
      <c r="L178" s="665"/>
      <c r="M178" s="665"/>
      <c r="N178" s="665"/>
      <c r="O178" s="665"/>
      <c r="P178" s="665"/>
      <c r="Q178" s="6"/>
      <c r="R178" s="6"/>
      <c r="S178" s="6"/>
      <c r="T178" s="6"/>
      <c r="U178" s="6"/>
      <c r="V178" s="6"/>
      <c r="W178" s="6"/>
      <c r="X178" s="6"/>
      <c r="Y178" s="6"/>
      <c r="Z178" s="6"/>
      <c r="AA178" s="6"/>
      <c r="AB178" s="6"/>
      <c r="AC178" s="6"/>
      <c r="AD178" s="51" t="s">
        <v>137</v>
      </c>
      <c r="AE178" s="51" t="s">
        <v>138</v>
      </c>
      <c r="AF178" s="51" t="s">
        <v>139</v>
      </c>
      <c r="AG178" s="51" t="s">
        <v>140</v>
      </c>
      <c r="AH178" s="51" t="s">
        <v>141</v>
      </c>
      <c r="AI178" s="51" t="s">
        <v>142</v>
      </c>
      <c r="AJ178" s="51" t="s">
        <v>143</v>
      </c>
      <c r="AK178" s="51" t="s">
        <v>144</v>
      </c>
      <c r="AL178" s="51" t="s">
        <v>145</v>
      </c>
      <c r="AM178" s="51" t="s">
        <v>146</v>
      </c>
      <c r="AN178" s="523" t="s">
        <v>116</v>
      </c>
      <c r="AO178" s="512"/>
      <c r="AP178" s="54" t="s">
        <v>137</v>
      </c>
      <c r="AQ178" s="54" t="s">
        <v>138</v>
      </c>
      <c r="AR178" s="355" t="s">
        <v>139</v>
      </c>
      <c r="AS178" s="355" t="s">
        <v>140</v>
      </c>
      <c r="AT178" s="355" t="s">
        <v>141</v>
      </c>
      <c r="AU178" s="355" t="s">
        <v>142</v>
      </c>
      <c r="AV178" s="355" t="s">
        <v>143</v>
      </c>
      <c r="AW178" s="355" t="s">
        <v>144</v>
      </c>
      <c r="AX178" s="355" t="s">
        <v>145</v>
      </c>
      <c r="AY178" s="355" t="s">
        <v>146</v>
      </c>
      <c r="AZ178" s="353" t="s">
        <v>147</v>
      </c>
      <c r="BA178" s="356"/>
      <c r="BB178" s="185" t="s">
        <v>283</v>
      </c>
      <c r="BC178" s="185"/>
      <c r="BD178" s="183"/>
      <c r="BE178" s="183"/>
      <c r="BF178" s="183"/>
      <c r="BG178" s="183"/>
      <c r="BH178" s="183"/>
      <c r="BI178" s="183"/>
      <c r="BJ178" s="183"/>
      <c r="BK178" s="183"/>
      <c r="BL178" s="183"/>
      <c r="BM178" s="183"/>
      <c r="BN178" s="183"/>
      <c r="BO178" s="183"/>
      <c r="BP178" s="183"/>
      <c r="BQ178" s="183"/>
      <c r="BR178" s="183"/>
      <c r="BS178" s="6"/>
      <c r="BT178" s="6"/>
      <c r="BU178" s="6"/>
      <c r="BV178" s="6"/>
      <c r="BW178" s="6"/>
      <c r="BX178" s="6"/>
      <c r="BY178" s="6"/>
      <c r="BZ178" s="6"/>
      <c r="CA178" s="6"/>
      <c r="CB178" s="6"/>
      <c r="CC178" s="6"/>
      <c r="CD178" s="195"/>
    </row>
    <row r="179" spans="1:82" ht="25.5" customHeight="1" x14ac:dyDescent="0.25">
      <c r="B179" s="789" t="s">
        <v>284</v>
      </c>
      <c r="C179" s="789"/>
      <c r="D179" s="660"/>
      <c r="E179" s="661"/>
      <c r="F179" s="661"/>
      <c r="G179" s="661"/>
      <c r="H179" s="661"/>
      <c r="I179" s="661"/>
      <c r="J179" s="661"/>
      <c r="K179" s="661"/>
      <c r="L179" s="661"/>
      <c r="M179" s="661"/>
      <c r="N179" s="661"/>
      <c r="O179" s="661"/>
      <c r="P179" s="662"/>
      <c r="Q179" s="163"/>
      <c r="R179" s="163"/>
      <c r="S179" s="163"/>
      <c r="T179" s="163"/>
      <c r="U179" s="163"/>
      <c r="V179" s="163"/>
      <c r="W179" s="163"/>
      <c r="X179" s="163"/>
      <c r="Y179" s="163"/>
      <c r="Z179" s="163"/>
      <c r="AA179" s="163"/>
      <c r="AB179" s="163"/>
      <c r="AC179" s="159"/>
      <c r="AD179" s="267"/>
      <c r="AE179" s="267"/>
      <c r="AF179" s="267"/>
      <c r="AG179" s="267"/>
      <c r="AH179" s="267"/>
      <c r="AI179" s="267"/>
      <c r="AJ179" s="267"/>
      <c r="AK179" s="267"/>
      <c r="AL179" s="267"/>
      <c r="AM179" s="267"/>
      <c r="AN179" s="786">
        <f>SUM(AD179:AD183,AE179:AE183,AF179:AF183, AG179:AG183,AH179:AH183,AI179:AI183,AJ179:AJ183,AK179:AK183,AL179:AL183,AM179:AM183)</f>
        <v>0</v>
      </c>
      <c r="AO179" s="736">
        <f>MatSupTOT+AZ179</f>
        <v>0</v>
      </c>
      <c r="AP179" s="529"/>
      <c r="AQ179" s="265"/>
      <c r="AR179" s="265"/>
      <c r="AS179" s="265"/>
      <c r="AT179" s="265"/>
      <c r="AU179" s="265"/>
      <c r="AV179" s="265"/>
      <c r="AW179" s="265"/>
      <c r="AX179" s="265"/>
      <c r="AY179" s="265"/>
      <c r="AZ179" s="830">
        <f>SUM(AP179:AP183,AQ179:AQ183,AR179:AR183,AS179:AS183,AT179:AT183,AU179:AU183,AV179:AV183,AW179:AW183,AX179:AX183,AY179:AY183)</f>
        <v>0</v>
      </c>
      <c r="BB179" s="856" t="s">
        <v>284</v>
      </c>
      <c r="BC179" s="857"/>
      <c r="BD179" s="719"/>
      <c r="BE179" s="720"/>
      <c r="BF179" s="720"/>
      <c r="BG179" s="720"/>
      <c r="BH179" s="720"/>
      <c r="BI179" s="720"/>
      <c r="BJ179" s="720"/>
      <c r="BK179" s="720"/>
      <c r="BL179" s="720"/>
      <c r="BM179" s="720"/>
      <c r="BN179" s="720"/>
      <c r="BO179" s="720"/>
      <c r="BP179" s="720"/>
      <c r="BQ179" s="720"/>
      <c r="BR179" s="721"/>
      <c r="CD179" s="149"/>
    </row>
    <row r="180" spans="1:82" ht="25.5" customHeight="1" x14ac:dyDescent="0.25">
      <c r="B180" s="789"/>
      <c r="C180" s="789"/>
      <c r="D180" s="648"/>
      <c r="E180" s="649"/>
      <c r="F180" s="649"/>
      <c r="G180" s="649"/>
      <c r="H180" s="649"/>
      <c r="I180" s="649"/>
      <c r="J180" s="649"/>
      <c r="K180" s="649"/>
      <c r="L180" s="649"/>
      <c r="M180" s="649"/>
      <c r="N180" s="649"/>
      <c r="O180" s="649"/>
      <c r="P180" s="650"/>
      <c r="Q180" s="163"/>
      <c r="R180" s="163"/>
      <c r="S180" s="163"/>
      <c r="T180" s="163"/>
      <c r="U180" s="163"/>
      <c r="V180" s="163"/>
      <c r="W180" s="163"/>
      <c r="X180" s="163"/>
      <c r="Y180" s="163"/>
      <c r="Z180" s="163"/>
      <c r="AA180" s="163"/>
      <c r="AB180" s="163"/>
      <c r="AC180" s="159"/>
      <c r="AD180" s="267"/>
      <c r="AE180" s="266"/>
      <c r="AF180" s="266"/>
      <c r="AG180" s="266"/>
      <c r="AH180" s="266"/>
      <c r="AI180" s="266"/>
      <c r="AJ180" s="266"/>
      <c r="AK180" s="266"/>
      <c r="AL180" s="266"/>
      <c r="AM180" s="266"/>
      <c r="AN180" s="786"/>
      <c r="AO180" s="736"/>
      <c r="AP180" s="529"/>
      <c r="AQ180" s="265"/>
      <c r="AR180" s="265"/>
      <c r="AS180" s="265"/>
      <c r="AT180" s="265"/>
      <c r="AU180" s="265"/>
      <c r="AV180" s="265"/>
      <c r="AW180" s="265"/>
      <c r="AX180" s="265"/>
      <c r="AY180" s="265"/>
      <c r="AZ180" s="831"/>
      <c r="BB180" s="858"/>
      <c r="BC180" s="859"/>
      <c r="BD180" s="719"/>
      <c r="BE180" s="720"/>
      <c r="BF180" s="720"/>
      <c r="BG180" s="720"/>
      <c r="BH180" s="720"/>
      <c r="BI180" s="720"/>
      <c r="BJ180" s="720"/>
      <c r="BK180" s="720"/>
      <c r="BL180" s="720"/>
      <c r="BM180" s="720"/>
      <c r="BN180" s="720"/>
      <c r="BO180" s="720"/>
      <c r="BP180" s="720"/>
      <c r="BQ180" s="720"/>
      <c r="BR180" s="721"/>
      <c r="CD180" s="149"/>
    </row>
    <row r="181" spans="1:82" ht="25.5" customHeight="1" x14ac:dyDescent="0.25">
      <c r="B181" s="789"/>
      <c r="C181" s="789"/>
      <c r="D181" s="648"/>
      <c r="E181" s="649"/>
      <c r="F181" s="649"/>
      <c r="G181" s="649"/>
      <c r="H181" s="649"/>
      <c r="I181" s="649"/>
      <c r="J181" s="649"/>
      <c r="K181" s="649"/>
      <c r="L181" s="649"/>
      <c r="M181" s="649"/>
      <c r="N181" s="649"/>
      <c r="O181" s="649"/>
      <c r="P181" s="650"/>
      <c r="Q181" s="163"/>
      <c r="R181" s="163"/>
      <c r="S181" s="163"/>
      <c r="T181" s="163"/>
      <c r="U181" s="163"/>
      <c r="V181" s="163"/>
      <c r="W181" s="163"/>
      <c r="X181" s="163"/>
      <c r="Y181" s="163"/>
      <c r="Z181" s="163"/>
      <c r="AA181" s="163"/>
      <c r="AB181" s="163"/>
      <c r="AC181" s="159"/>
      <c r="AD181" s="267"/>
      <c r="AE181" s="266"/>
      <c r="AF181" s="266"/>
      <c r="AG181" s="266"/>
      <c r="AH181" s="266"/>
      <c r="AI181" s="266"/>
      <c r="AJ181" s="266"/>
      <c r="AK181" s="266"/>
      <c r="AL181" s="266"/>
      <c r="AM181" s="266"/>
      <c r="AN181" s="786"/>
      <c r="AO181" s="736"/>
      <c r="AP181" s="529"/>
      <c r="AQ181" s="265"/>
      <c r="AR181" s="265"/>
      <c r="AS181" s="272"/>
      <c r="AT181" s="272"/>
      <c r="AU181" s="272"/>
      <c r="AV181" s="272"/>
      <c r="AW181" s="272"/>
      <c r="AX181" s="272"/>
      <c r="AY181" s="503"/>
      <c r="AZ181" s="832"/>
      <c r="BB181" s="858"/>
      <c r="BC181" s="859"/>
      <c r="BD181" s="719"/>
      <c r="BE181" s="720"/>
      <c r="BF181" s="720"/>
      <c r="BG181" s="720"/>
      <c r="BH181" s="720"/>
      <c r="BI181" s="720"/>
      <c r="BJ181" s="720"/>
      <c r="BK181" s="720"/>
      <c r="BL181" s="720"/>
      <c r="BM181" s="720"/>
      <c r="BN181" s="720"/>
      <c r="BO181" s="720"/>
      <c r="BP181" s="720"/>
      <c r="BQ181" s="720"/>
      <c r="BR181" s="721"/>
      <c r="CD181" s="149"/>
    </row>
    <row r="182" spans="1:82" ht="25.5" customHeight="1" x14ac:dyDescent="0.25">
      <c r="B182" s="789"/>
      <c r="C182" s="789"/>
      <c r="D182" s="648"/>
      <c r="E182" s="649"/>
      <c r="F182" s="649"/>
      <c r="G182" s="649"/>
      <c r="H182" s="649"/>
      <c r="I182" s="649"/>
      <c r="J182" s="649"/>
      <c r="K182" s="649"/>
      <c r="L182" s="649"/>
      <c r="M182" s="649"/>
      <c r="N182" s="649"/>
      <c r="O182" s="649"/>
      <c r="P182" s="650"/>
      <c r="Q182" s="163"/>
      <c r="R182" s="163"/>
      <c r="S182" s="163"/>
      <c r="T182" s="163"/>
      <c r="U182" s="163"/>
      <c r="V182" s="163"/>
      <c r="W182" s="163"/>
      <c r="X182" s="163"/>
      <c r="Y182" s="163"/>
      <c r="Z182" s="163"/>
      <c r="AA182" s="163"/>
      <c r="AB182" s="163"/>
      <c r="AC182" s="159"/>
      <c r="AD182" s="267"/>
      <c r="AE182" s="267"/>
      <c r="AF182" s="267"/>
      <c r="AG182" s="267"/>
      <c r="AH182" s="267"/>
      <c r="AI182" s="267"/>
      <c r="AJ182" s="267"/>
      <c r="AK182" s="267"/>
      <c r="AL182" s="267"/>
      <c r="AM182" s="267"/>
      <c r="AN182" s="786"/>
      <c r="AO182" s="736"/>
      <c r="AP182" s="529"/>
      <c r="AQ182" s="265"/>
      <c r="AR182" s="591"/>
      <c r="AS182" s="591"/>
      <c r="AT182" s="591"/>
      <c r="AU182" s="591"/>
      <c r="AV182" s="591"/>
      <c r="AW182" s="591"/>
      <c r="AX182" s="591"/>
      <c r="AY182" s="503"/>
      <c r="AZ182" s="832"/>
      <c r="BB182" s="858"/>
      <c r="BC182" s="859"/>
      <c r="BD182" s="719"/>
      <c r="BE182" s="720"/>
      <c r="BF182" s="720"/>
      <c r="BG182" s="720"/>
      <c r="BH182" s="720"/>
      <c r="BI182" s="720"/>
      <c r="BJ182" s="720"/>
      <c r="BK182" s="720"/>
      <c r="BL182" s="720"/>
      <c r="BM182" s="720"/>
      <c r="BN182" s="720"/>
      <c r="BO182" s="720"/>
      <c r="BP182" s="720"/>
      <c r="BQ182" s="720"/>
      <c r="BR182" s="721"/>
      <c r="CD182" s="149"/>
    </row>
    <row r="183" spans="1:82" ht="25.5" customHeight="1" thickBot="1" x14ac:dyDescent="0.3">
      <c r="B183" s="790"/>
      <c r="C183" s="790"/>
      <c r="D183" s="648"/>
      <c r="E183" s="649"/>
      <c r="F183" s="649"/>
      <c r="G183" s="649"/>
      <c r="H183" s="649"/>
      <c r="I183" s="649"/>
      <c r="J183" s="649"/>
      <c r="K183" s="649"/>
      <c r="L183" s="649"/>
      <c r="M183" s="649"/>
      <c r="N183" s="649"/>
      <c r="O183" s="649"/>
      <c r="P183" s="650"/>
      <c r="Q183" s="163"/>
      <c r="R183" s="163"/>
      <c r="S183" s="163"/>
      <c r="T183" s="163"/>
      <c r="U183" s="163"/>
      <c r="V183" s="163"/>
      <c r="W183" s="163"/>
      <c r="X183" s="163"/>
      <c r="Y183" s="163"/>
      <c r="Z183" s="163"/>
      <c r="AA183" s="163"/>
      <c r="AB183" s="163"/>
      <c r="AC183" s="159"/>
      <c r="AD183" s="268"/>
      <c r="AE183" s="269"/>
      <c r="AF183" s="269"/>
      <c r="AG183" s="269"/>
      <c r="AH183" s="269"/>
      <c r="AI183" s="269"/>
      <c r="AJ183" s="269"/>
      <c r="AK183" s="269"/>
      <c r="AL183" s="269"/>
      <c r="AM183" s="269"/>
      <c r="AN183" s="787"/>
      <c r="AO183" s="736"/>
      <c r="AP183" s="529"/>
      <c r="AQ183" s="272"/>
      <c r="AR183" s="592"/>
      <c r="AS183" s="592"/>
      <c r="AT183" s="592"/>
      <c r="AU183" s="592"/>
      <c r="AV183" s="592"/>
      <c r="AW183" s="592"/>
      <c r="AX183" s="592"/>
      <c r="AY183" s="609"/>
      <c r="AZ183" s="833"/>
      <c r="BB183" s="860"/>
      <c r="BC183" s="861"/>
      <c r="BD183" s="716"/>
      <c r="BE183" s="717"/>
      <c r="BF183" s="717"/>
      <c r="BG183" s="717"/>
      <c r="BH183" s="717"/>
      <c r="BI183" s="717"/>
      <c r="BJ183" s="717"/>
      <c r="BK183" s="717"/>
      <c r="BL183" s="717"/>
      <c r="BM183" s="717"/>
      <c r="BN183" s="717"/>
      <c r="BO183" s="717"/>
      <c r="BP183" s="717"/>
      <c r="BQ183" s="717"/>
      <c r="BR183" s="718"/>
      <c r="CD183" s="149"/>
    </row>
    <row r="184" spans="1:82" ht="35.25" customHeight="1" x14ac:dyDescent="0.25">
      <c r="A184" s="502"/>
      <c r="B184" s="771" t="s">
        <v>285</v>
      </c>
      <c r="C184" s="771"/>
      <c r="D184" s="651"/>
      <c r="E184" s="652"/>
      <c r="F184" s="652"/>
      <c r="G184" s="652"/>
      <c r="H184" s="652"/>
      <c r="I184" s="652"/>
      <c r="J184" s="652"/>
      <c r="K184" s="652"/>
      <c r="L184" s="652"/>
      <c r="M184" s="652"/>
      <c r="N184" s="652"/>
      <c r="O184" s="652"/>
      <c r="P184" s="653"/>
      <c r="AC184" s="158"/>
      <c r="AD184" s="270"/>
      <c r="AE184" s="271"/>
      <c r="AF184" s="271"/>
      <c r="AG184" s="271"/>
      <c r="AH184" s="271"/>
      <c r="AI184" s="271"/>
      <c r="AJ184" s="271"/>
      <c r="AK184" s="271"/>
      <c r="AL184" s="271"/>
      <c r="AM184" s="271"/>
      <c r="AN184" s="72">
        <f>SUM(AD184:AM184)</f>
        <v>0</v>
      </c>
      <c r="AO184" s="512">
        <f>PubTOT+AZ184</f>
        <v>0</v>
      </c>
      <c r="AP184" s="527"/>
      <c r="AQ184" s="273"/>
      <c r="AR184" s="590"/>
      <c r="AS184" s="590"/>
      <c r="AT184" s="590"/>
      <c r="AU184" s="590"/>
      <c r="AV184" s="590"/>
      <c r="AW184" s="590"/>
      <c r="AX184" s="590"/>
      <c r="AY184" s="610"/>
      <c r="AZ184" s="241">
        <f>SUM(AP184:AY184)</f>
        <v>0</v>
      </c>
      <c r="BB184" s="668" t="s">
        <v>286</v>
      </c>
      <c r="BC184" s="669"/>
      <c r="BD184" s="845"/>
      <c r="BE184" s="846"/>
      <c r="BF184" s="846"/>
      <c r="BG184" s="846"/>
      <c r="BH184" s="846"/>
      <c r="BI184" s="846"/>
      <c r="BJ184" s="846"/>
      <c r="BK184" s="846"/>
      <c r="BL184" s="846"/>
      <c r="BM184" s="846"/>
      <c r="BN184" s="846"/>
      <c r="BO184" s="846"/>
      <c r="BP184" s="846"/>
      <c r="BQ184" s="846"/>
      <c r="BR184" s="847"/>
      <c r="CD184" s="149"/>
    </row>
    <row r="185" spans="1:82" ht="35.25" customHeight="1" x14ac:dyDescent="0.25">
      <c r="B185" s="761" t="s">
        <v>287</v>
      </c>
      <c r="C185" s="761"/>
      <c r="D185" s="648"/>
      <c r="E185" s="649"/>
      <c r="F185" s="649"/>
      <c r="G185" s="649"/>
      <c r="H185" s="649"/>
      <c r="I185" s="649"/>
      <c r="J185" s="649"/>
      <c r="K185" s="649"/>
      <c r="L185" s="649"/>
      <c r="M185" s="649"/>
      <c r="N185" s="649"/>
      <c r="O185" s="649"/>
      <c r="P185" s="650"/>
      <c r="AC185" s="158"/>
      <c r="AD185" s="267"/>
      <c r="AE185" s="266"/>
      <c r="AF185" s="266"/>
      <c r="AG185" s="266"/>
      <c r="AH185" s="266"/>
      <c r="AI185" s="266"/>
      <c r="AJ185" s="266"/>
      <c r="AK185" s="266"/>
      <c r="AL185" s="266"/>
      <c r="AM185" s="266"/>
      <c r="AN185" s="72">
        <f t="shared" ref="AN185:AN194" si="229">SUM(AD185:AM185)</f>
        <v>0</v>
      </c>
      <c r="AO185" s="512">
        <f>ConsultantTot+AZ185</f>
        <v>0</v>
      </c>
      <c r="AP185" s="528"/>
      <c r="AQ185" s="265"/>
      <c r="AR185" s="591"/>
      <c r="AS185" s="591"/>
      <c r="AT185" s="591"/>
      <c r="AU185" s="591"/>
      <c r="AV185" s="591"/>
      <c r="AW185" s="591"/>
      <c r="AX185" s="591"/>
      <c r="AY185" s="503"/>
      <c r="AZ185" s="241">
        <f t="shared" ref="AZ185:AZ194" si="230">SUM(AP185:AY185)</f>
        <v>0</v>
      </c>
      <c r="BB185" s="670" t="s">
        <v>285</v>
      </c>
      <c r="BC185" s="671"/>
      <c r="BD185" s="719"/>
      <c r="BE185" s="720"/>
      <c r="BF185" s="720"/>
      <c r="BG185" s="720"/>
      <c r="BH185" s="720"/>
      <c r="BI185" s="720"/>
      <c r="BJ185" s="720"/>
      <c r="BK185" s="720"/>
      <c r="BL185" s="720"/>
      <c r="BM185" s="720"/>
      <c r="BN185" s="720"/>
      <c r="BO185" s="720"/>
      <c r="BP185" s="720"/>
      <c r="BQ185" s="720"/>
      <c r="BR185" s="721"/>
      <c r="CD185" s="149"/>
    </row>
    <row r="186" spans="1:82" ht="35.25" customHeight="1" x14ac:dyDescent="0.25">
      <c r="B186" s="761" t="s">
        <v>288</v>
      </c>
      <c r="C186" s="761"/>
      <c r="D186" s="660"/>
      <c r="E186" s="661"/>
      <c r="F186" s="661"/>
      <c r="G186" s="661"/>
      <c r="H186" s="661"/>
      <c r="I186" s="661"/>
      <c r="J186" s="661"/>
      <c r="K186" s="661"/>
      <c r="L186" s="661"/>
      <c r="M186" s="661"/>
      <c r="N186" s="661"/>
      <c r="O186" s="661"/>
      <c r="P186" s="662"/>
      <c r="AC186" s="158"/>
      <c r="AD186" s="267"/>
      <c r="AE186" s="266"/>
      <c r="AF186" s="266"/>
      <c r="AG186" s="266"/>
      <c r="AH186" s="266"/>
      <c r="AI186" s="266"/>
      <c r="AJ186" s="266"/>
      <c r="AK186" s="266"/>
      <c r="AL186" s="266"/>
      <c r="AM186" s="266"/>
      <c r="AN186" s="72">
        <f t="shared" si="229"/>
        <v>0</v>
      </c>
      <c r="AO186" s="512">
        <f>CompSvcsTot+AZ186</f>
        <v>0</v>
      </c>
      <c r="AP186" s="526"/>
      <c r="AQ186" s="265"/>
      <c r="AR186" s="591"/>
      <c r="AS186" s="591"/>
      <c r="AT186" s="591"/>
      <c r="AU186" s="591"/>
      <c r="AV186" s="591"/>
      <c r="AW186" s="591"/>
      <c r="AX186" s="591"/>
      <c r="AY186" s="503"/>
      <c r="AZ186" s="241">
        <f t="shared" si="230"/>
        <v>0</v>
      </c>
      <c r="BB186" s="670" t="s">
        <v>288</v>
      </c>
      <c r="BC186" s="671"/>
      <c r="BD186" s="719"/>
      <c r="BE186" s="720"/>
      <c r="BF186" s="720"/>
      <c r="BG186" s="720"/>
      <c r="BH186" s="720"/>
      <c r="BI186" s="720"/>
      <c r="BJ186" s="720"/>
      <c r="BK186" s="720"/>
      <c r="BL186" s="720"/>
      <c r="BM186" s="720"/>
      <c r="BN186" s="720"/>
      <c r="BO186" s="720"/>
      <c r="BP186" s="720"/>
      <c r="BQ186" s="720"/>
      <c r="BR186" s="721"/>
      <c r="CD186" s="149"/>
    </row>
    <row r="187" spans="1:82" ht="35.25" customHeight="1" x14ac:dyDescent="0.25">
      <c r="B187" s="761" t="s">
        <v>289</v>
      </c>
      <c r="C187" s="761"/>
      <c r="D187" s="660"/>
      <c r="E187" s="661"/>
      <c r="F187" s="661"/>
      <c r="G187" s="661"/>
      <c r="H187" s="661"/>
      <c r="I187" s="661"/>
      <c r="J187" s="661"/>
      <c r="K187" s="661"/>
      <c r="L187" s="661"/>
      <c r="M187" s="661"/>
      <c r="N187" s="661"/>
      <c r="O187" s="661"/>
      <c r="P187" s="662"/>
      <c r="AC187" s="158"/>
      <c r="AD187" s="267"/>
      <c r="AE187" s="266"/>
      <c r="AF187" s="266"/>
      <c r="AG187" s="266"/>
      <c r="AH187" s="266"/>
      <c r="AI187" s="266"/>
      <c r="AJ187" s="266"/>
      <c r="AK187" s="266"/>
      <c r="AL187" s="266"/>
      <c r="AM187" s="266"/>
      <c r="AN187" s="72">
        <f t="shared" si="229"/>
        <v>0</v>
      </c>
      <c r="AO187" s="512">
        <f t="shared" ref="AO187:AO194" si="231">AN187+AZ187</f>
        <v>0</v>
      </c>
      <c r="AP187" s="526"/>
      <c r="AQ187" s="265"/>
      <c r="AR187" s="591"/>
      <c r="AS187" s="591"/>
      <c r="AT187" s="591"/>
      <c r="AU187" s="591"/>
      <c r="AV187" s="591"/>
      <c r="AW187" s="591"/>
      <c r="AX187" s="591"/>
      <c r="AY187" s="503"/>
      <c r="AZ187" s="241">
        <f t="shared" si="230"/>
        <v>0</v>
      </c>
      <c r="BB187" s="670" t="s">
        <v>289</v>
      </c>
      <c r="BC187" s="671"/>
      <c r="BD187" s="719"/>
      <c r="BE187" s="720"/>
      <c r="BF187" s="720"/>
      <c r="BG187" s="720"/>
      <c r="BH187" s="720"/>
      <c r="BI187" s="720"/>
      <c r="BJ187" s="720"/>
      <c r="BK187" s="720"/>
      <c r="BL187" s="720"/>
      <c r="BM187" s="720"/>
      <c r="BN187" s="720"/>
      <c r="BO187" s="720"/>
      <c r="BP187" s="720"/>
      <c r="BQ187" s="720"/>
      <c r="BR187" s="721"/>
      <c r="CD187" s="149"/>
    </row>
    <row r="188" spans="1:82" ht="35.25" customHeight="1" x14ac:dyDescent="0.25">
      <c r="B188" s="761" t="s">
        <v>290</v>
      </c>
      <c r="C188" s="761"/>
      <c r="D188" s="654"/>
      <c r="E188" s="655"/>
      <c r="F188" s="655"/>
      <c r="G188" s="655"/>
      <c r="H188" s="655"/>
      <c r="I188" s="655"/>
      <c r="J188" s="655"/>
      <c r="K188" s="655"/>
      <c r="L188" s="655"/>
      <c r="M188" s="655"/>
      <c r="N188" s="655"/>
      <c r="O188" s="655"/>
      <c r="P188" s="656"/>
      <c r="AC188" s="158"/>
      <c r="AD188" s="267"/>
      <c r="AE188" s="266"/>
      <c r="AF188" s="266"/>
      <c r="AG188" s="266"/>
      <c r="AH188" s="266"/>
      <c r="AI188" s="266"/>
      <c r="AJ188" s="266"/>
      <c r="AK188" s="266"/>
      <c r="AL188" s="266"/>
      <c r="AM188" s="266"/>
      <c r="AN188" s="72">
        <f t="shared" si="229"/>
        <v>0</v>
      </c>
      <c r="AO188" s="512">
        <f t="shared" si="231"/>
        <v>0</v>
      </c>
      <c r="AP188" s="526"/>
      <c r="AQ188" s="265"/>
      <c r="AR188" s="591"/>
      <c r="AS188" s="591"/>
      <c r="AT188" s="591"/>
      <c r="AU188" s="591"/>
      <c r="AV188" s="591"/>
      <c r="AW188" s="591"/>
      <c r="AX188" s="591"/>
      <c r="AY188" s="503"/>
      <c r="AZ188" s="241">
        <f t="shared" si="230"/>
        <v>0</v>
      </c>
      <c r="BB188" s="670" t="s">
        <v>290</v>
      </c>
      <c r="BC188" s="671"/>
      <c r="BD188" s="719"/>
      <c r="BE188" s="720"/>
      <c r="BF188" s="720"/>
      <c r="BG188" s="720"/>
      <c r="BH188" s="720"/>
      <c r="BI188" s="720"/>
      <c r="BJ188" s="720"/>
      <c r="BK188" s="720"/>
      <c r="BL188" s="720"/>
      <c r="BM188" s="720"/>
      <c r="BN188" s="720"/>
      <c r="BO188" s="720"/>
      <c r="BP188" s="720"/>
      <c r="BQ188" s="720"/>
      <c r="BR188" s="721"/>
      <c r="CD188" s="149"/>
    </row>
    <row r="189" spans="1:82" ht="34.5" customHeight="1" x14ac:dyDescent="0.25">
      <c r="B189" s="769" t="s">
        <v>291</v>
      </c>
      <c r="C189" s="770"/>
      <c r="D189" s="660"/>
      <c r="E189" s="661"/>
      <c r="F189" s="661"/>
      <c r="G189" s="661"/>
      <c r="H189" s="661"/>
      <c r="I189" s="661"/>
      <c r="J189" s="661"/>
      <c r="K189" s="661"/>
      <c r="L189" s="661"/>
      <c r="M189" s="661"/>
      <c r="N189" s="661"/>
      <c r="O189" s="661"/>
      <c r="P189" s="662"/>
      <c r="AC189" s="158"/>
      <c r="AD189" s="267"/>
      <c r="AE189" s="266"/>
      <c r="AF189" s="266"/>
      <c r="AG189" s="266"/>
      <c r="AH189" s="266"/>
      <c r="AI189" s="266"/>
      <c r="AJ189" s="266"/>
      <c r="AK189" s="266"/>
      <c r="AL189" s="266"/>
      <c r="AM189" s="266"/>
      <c r="AN189" s="72">
        <f t="shared" si="229"/>
        <v>0</v>
      </c>
      <c r="AO189" s="512">
        <f t="shared" si="231"/>
        <v>0</v>
      </c>
      <c r="AP189" s="526"/>
      <c r="AQ189" s="265"/>
      <c r="AR189" s="591"/>
      <c r="AS189" s="591"/>
      <c r="AT189" s="591"/>
      <c r="AU189" s="591"/>
      <c r="AV189" s="591"/>
      <c r="AW189" s="591"/>
      <c r="AX189" s="591"/>
      <c r="AY189" s="503"/>
      <c r="AZ189" s="241">
        <f t="shared" si="230"/>
        <v>0</v>
      </c>
      <c r="BB189" s="724" t="s">
        <v>292</v>
      </c>
      <c r="BC189" s="725"/>
      <c r="BD189" s="719"/>
      <c r="BE189" s="720"/>
      <c r="BF189" s="720"/>
      <c r="BG189" s="720"/>
      <c r="BH189" s="720"/>
      <c r="BI189" s="720"/>
      <c r="BJ189" s="720"/>
      <c r="BK189" s="720"/>
      <c r="BL189" s="720"/>
      <c r="BM189" s="720"/>
      <c r="BN189" s="720"/>
      <c r="BO189" s="720"/>
      <c r="BP189" s="720"/>
      <c r="BQ189" s="720"/>
      <c r="BR189" s="721"/>
      <c r="CD189" s="149"/>
    </row>
    <row r="190" spans="1:82" ht="34.5" customHeight="1" x14ac:dyDescent="0.25">
      <c r="B190" s="413"/>
      <c r="C190" s="414"/>
      <c r="D190" s="660"/>
      <c r="E190" s="661"/>
      <c r="F190" s="661"/>
      <c r="G190" s="661"/>
      <c r="H190" s="661"/>
      <c r="I190" s="661"/>
      <c r="J190" s="661"/>
      <c r="K190" s="661"/>
      <c r="L190" s="661"/>
      <c r="M190" s="661"/>
      <c r="N190" s="661"/>
      <c r="O190" s="661"/>
      <c r="P190" s="662"/>
      <c r="AC190" s="158"/>
      <c r="AD190" s="267"/>
      <c r="AE190" s="266"/>
      <c r="AF190" s="266"/>
      <c r="AG190" s="266"/>
      <c r="AH190" s="266"/>
      <c r="AI190" s="266"/>
      <c r="AJ190" s="266"/>
      <c r="AK190" s="266"/>
      <c r="AL190" s="266"/>
      <c r="AM190" s="266"/>
      <c r="AN190" s="72">
        <f t="shared" si="229"/>
        <v>0</v>
      </c>
      <c r="AO190" s="512">
        <f t="shared" si="231"/>
        <v>0</v>
      </c>
      <c r="AP190" s="526"/>
      <c r="AQ190" s="265"/>
      <c r="AR190" s="591"/>
      <c r="AS190" s="591"/>
      <c r="AT190" s="591"/>
      <c r="AU190" s="591"/>
      <c r="AV190" s="591"/>
      <c r="AW190" s="591"/>
      <c r="AX190" s="591"/>
      <c r="AY190" s="503"/>
      <c r="AZ190" s="241">
        <f t="shared" si="230"/>
        <v>0</v>
      </c>
      <c r="BB190" s="186"/>
      <c r="BC190" s="187"/>
      <c r="BD190" s="410"/>
      <c r="BE190" s="411"/>
      <c r="BF190" s="411"/>
      <c r="BG190" s="411"/>
      <c r="BH190" s="411"/>
      <c r="BI190" s="411"/>
      <c r="BJ190" s="411"/>
      <c r="BK190" s="411"/>
      <c r="BL190" s="411"/>
      <c r="BM190" s="411"/>
      <c r="BN190" s="411"/>
      <c r="BO190" s="411"/>
      <c r="BP190" s="411"/>
      <c r="BQ190" s="411"/>
      <c r="BR190" s="412"/>
      <c r="CD190" s="149"/>
    </row>
    <row r="191" spans="1:82" ht="34.5" customHeight="1" x14ac:dyDescent="0.25">
      <c r="B191" s="413"/>
      <c r="C191" s="414"/>
      <c r="D191" s="654"/>
      <c r="E191" s="655"/>
      <c r="F191" s="655"/>
      <c r="G191" s="655"/>
      <c r="H191" s="655"/>
      <c r="I191" s="655"/>
      <c r="J191" s="655"/>
      <c r="K191" s="655"/>
      <c r="L191" s="655"/>
      <c r="M191" s="655"/>
      <c r="N191" s="655"/>
      <c r="O191" s="655"/>
      <c r="P191" s="656"/>
      <c r="AC191" s="158"/>
      <c r="AD191" s="267"/>
      <c r="AE191" s="266"/>
      <c r="AF191" s="266"/>
      <c r="AG191" s="266"/>
      <c r="AH191" s="266"/>
      <c r="AI191" s="266"/>
      <c r="AJ191" s="266"/>
      <c r="AK191" s="266"/>
      <c r="AL191" s="266"/>
      <c r="AM191" s="266"/>
      <c r="AN191" s="72">
        <f t="shared" si="229"/>
        <v>0</v>
      </c>
      <c r="AO191" s="512">
        <f t="shared" si="231"/>
        <v>0</v>
      </c>
      <c r="AP191" s="526"/>
      <c r="AQ191" s="265"/>
      <c r="AR191" s="591"/>
      <c r="AS191" s="591"/>
      <c r="AT191" s="591"/>
      <c r="AU191" s="591"/>
      <c r="AV191" s="591"/>
      <c r="AW191" s="591"/>
      <c r="AX191" s="591"/>
      <c r="AY191" s="503"/>
      <c r="AZ191" s="241">
        <f t="shared" si="230"/>
        <v>0</v>
      </c>
      <c r="BB191" s="186"/>
      <c r="BC191" s="187"/>
      <c r="BD191" s="410"/>
      <c r="BE191" s="411"/>
      <c r="BF191" s="411"/>
      <c r="BG191" s="411"/>
      <c r="BH191" s="411"/>
      <c r="BI191" s="411"/>
      <c r="BJ191" s="411"/>
      <c r="BK191" s="411"/>
      <c r="BL191" s="411"/>
      <c r="BM191" s="411"/>
      <c r="BN191" s="411"/>
      <c r="BO191" s="411"/>
      <c r="BP191" s="411"/>
      <c r="BQ191" s="411"/>
      <c r="BR191" s="412"/>
      <c r="CD191" s="149"/>
    </row>
    <row r="192" spans="1:82" ht="31.5" customHeight="1" x14ac:dyDescent="0.25">
      <c r="B192" s="704"/>
      <c r="C192" s="706"/>
      <c r="D192" s="648"/>
      <c r="E192" s="649"/>
      <c r="F192" s="649"/>
      <c r="G192" s="649"/>
      <c r="H192" s="649"/>
      <c r="I192" s="649"/>
      <c r="J192" s="649"/>
      <c r="K192" s="649"/>
      <c r="L192" s="649"/>
      <c r="M192" s="649"/>
      <c r="N192" s="649"/>
      <c r="O192" s="649"/>
      <c r="P192" s="650"/>
      <c r="Q192" s="158"/>
      <c r="R192" s="158"/>
      <c r="S192" s="158"/>
      <c r="T192" s="158"/>
      <c r="U192" s="158"/>
      <c r="V192" s="158"/>
      <c r="W192" s="158"/>
      <c r="X192" s="158"/>
      <c r="Y192" s="158"/>
      <c r="Z192" s="158"/>
      <c r="AA192" s="158"/>
      <c r="AB192" s="158"/>
      <c r="AC192" s="158"/>
      <c r="AD192" s="267"/>
      <c r="AE192" s="266"/>
      <c r="AF192" s="266"/>
      <c r="AG192" s="266"/>
      <c r="AH192" s="266"/>
      <c r="AI192" s="266"/>
      <c r="AJ192" s="266"/>
      <c r="AK192" s="266"/>
      <c r="AL192" s="266"/>
      <c r="AM192" s="266"/>
      <c r="AN192" s="72">
        <f t="shared" si="229"/>
        <v>0</v>
      </c>
      <c r="AO192" s="512">
        <f t="shared" si="231"/>
        <v>0</v>
      </c>
      <c r="AP192" s="526"/>
      <c r="AQ192" s="265"/>
      <c r="AR192" s="591"/>
      <c r="AS192" s="591"/>
      <c r="AT192" s="591"/>
      <c r="AU192" s="591"/>
      <c r="AV192" s="591"/>
      <c r="AW192" s="591"/>
      <c r="AX192" s="591"/>
      <c r="AY192" s="503"/>
      <c r="AZ192" s="241">
        <f t="shared" si="230"/>
        <v>0</v>
      </c>
      <c r="BB192" s="186"/>
      <c r="BC192" s="187"/>
      <c r="BD192" s="719"/>
      <c r="BE192" s="720"/>
      <c r="BF192" s="720"/>
      <c r="BG192" s="720"/>
      <c r="BH192" s="720"/>
      <c r="BI192" s="720"/>
      <c r="BJ192" s="720"/>
      <c r="BK192" s="720"/>
      <c r="BL192" s="720"/>
      <c r="BM192" s="720"/>
      <c r="BN192" s="720"/>
      <c r="BO192" s="720"/>
      <c r="BP192" s="720"/>
      <c r="BQ192" s="720"/>
      <c r="BR192" s="721"/>
      <c r="CD192" s="149"/>
    </row>
    <row r="193" spans="2:83" ht="31.5" customHeight="1" x14ac:dyDescent="0.25">
      <c r="B193" s="704"/>
      <c r="C193" s="706"/>
      <c r="D193" s="654"/>
      <c r="E193" s="655"/>
      <c r="F193" s="655"/>
      <c r="G193" s="655"/>
      <c r="H193" s="655"/>
      <c r="I193" s="655"/>
      <c r="J193" s="655"/>
      <c r="K193" s="655"/>
      <c r="L193" s="655"/>
      <c r="M193" s="655"/>
      <c r="N193" s="655"/>
      <c r="O193" s="655"/>
      <c r="P193" s="656"/>
      <c r="Q193" s="158"/>
      <c r="R193" s="158"/>
      <c r="S193" s="158"/>
      <c r="T193" s="158"/>
      <c r="U193" s="158"/>
      <c r="V193" s="158"/>
      <c r="W193" s="158"/>
      <c r="X193" s="158"/>
      <c r="Y193" s="158"/>
      <c r="Z193" s="158"/>
      <c r="AA193" s="158"/>
      <c r="AB193" s="158"/>
      <c r="AC193" s="158"/>
      <c r="AD193" s="267"/>
      <c r="AE193" s="266"/>
      <c r="AF193" s="266"/>
      <c r="AG193" s="266"/>
      <c r="AH193" s="266"/>
      <c r="AI193" s="266"/>
      <c r="AJ193" s="266"/>
      <c r="AK193" s="266"/>
      <c r="AL193" s="266"/>
      <c r="AM193" s="266"/>
      <c r="AN193" s="72">
        <f t="shared" si="229"/>
        <v>0</v>
      </c>
      <c r="AO193" s="512">
        <f t="shared" si="231"/>
        <v>0</v>
      </c>
      <c r="AP193" s="526"/>
      <c r="AQ193" s="265"/>
      <c r="AR193" s="591"/>
      <c r="AS193" s="591"/>
      <c r="AT193" s="591"/>
      <c r="AU193" s="591"/>
      <c r="AV193" s="591"/>
      <c r="AW193" s="591"/>
      <c r="AX193" s="591"/>
      <c r="AY193" s="503"/>
      <c r="AZ193" s="241">
        <f t="shared" si="230"/>
        <v>0</v>
      </c>
      <c r="BB193" s="188"/>
      <c r="BC193" s="189"/>
      <c r="BD193" s="719"/>
      <c r="BE193" s="720"/>
      <c r="BF193" s="720"/>
      <c r="BG193" s="720"/>
      <c r="BH193" s="720"/>
      <c r="BI193" s="720"/>
      <c r="BJ193" s="720"/>
      <c r="BK193" s="720"/>
      <c r="BL193" s="720"/>
      <c r="BM193" s="720"/>
      <c r="BN193" s="720"/>
      <c r="BO193" s="720"/>
      <c r="BP193" s="720"/>
      <c r="BQ193" s="720"/>
      <c r="BR193" s="721"/>
      <c r="CD193" s="149"/>
    </row>
    <row r="194" spans="2:83" ht="33" customHeight="1" x14ac:dyDescent="0.25">
      <c r="B194" s="794"/>
      <c r="C194" s="794"/>
      <c r="D194" s="654"/>
      <c r="E194" s="655"/>
      <c r="F194" s="655"/>
      <c r="G194" s="655"/>
      <c r="H194" s="655"/>
      <c r="I194" s="655"/>
      <c r="J194" s="655"/>
      <c r="K194" s="655"/>
      <c r="L194" s="655"/>
      <c r="M194" s="655"/>
      <c r="N194" s="655"/>
      <c r="O194" s="655"/>
      <c r="P194" s="656"/>
      <c r="Q194" s="163"/>
      <c r="R194" s="163"/>
      <c r="S194" s="163"/>
      <c r="T194" s="163"/>
      <c r="U194" s="163"/>
      <c r="V194" s="163"/>
      <c r="W194" s="163"/>
      <c r="X194" s="163"/>
      <c r="Y194" s="163"/>
      <c r="Z194" s="163"/>
      <c r="AA194" s="163"/>
      <c r="AB194" s="163"/>
      <c r="AC194" s="159"/>
      <c r="AD194" s="267"/>
      <c r="AE194" s="266"/>
      <c r="AF194" s="266"/>
      <c r="AG194" s="266"/>
      <c r="AH194" s="266"/>
      <c r="AI194" s="266"/>
      <c r="AJ194" s="266"/>
      <c r="AK194" s="266"/>
      <c r="AL194" s="266"/>
      <c r="AM194" s="266"/>
      <c r="AN194" s="72">
        <f t="shared" si="229"/>
        <v>0</v>
      </c>
      <c r="AO194" s="512">
        <f t="shared" si="231"/>
        <v>0</v>
      </c>
      <c r="AP194" s="526"/>
      <c r="AQ194" s="265"/>
      <c r="AR194" s="591"/>
      <c r="AS194" s="591"/>
      <c r="AT194" s="591"/>
      <c r="AU194" s="591"/>
      <c r="AV194" s="591"/>
      <c r="AW194" s="591"/>
      <c r="AX194" s="591"/>
      <c r="AY194" s="503"/>
      <c r="AZ194" s="241">
        <f t="shared" si="230"/>
        <v>0</v>
      </c>
      <c r="BB194" s="190"/>
      <c r="BC194" s="191"/>
      <c r="BD194" s="842"/>
      <c r="BE194" s="843"/>
      <c r="BF194" s="843"/>
      <c r="BG194" s="843"/>
      <c r="BH194" s="843"/>
      <c r="BI194" s="843"/>
      <c r="BJ194" s="843"/>
      <c r="BK194" s="843"/>
      <c r="BL194" s="843"/>
      <c r="BM194" s="843"/>
      <c r="BN194" s="843"/>
      <c r="BO194" s="843"/>
      <c r="BP194" s="843"/>
      <c r="BQ194" s="843"/>
      <c r="BR194" s="844"/>
      <c r="BS194" s="211"/>
      <c r="BT194" s="211"/>
      <c r="BU194" s="211"/>
      <c r="BV194" s="211"/>
      <c r="BW194" s="211"/>
      <c r="BX194" s="211"/>
      <c r="BY194" s="211"/>
      <c r="BZ194" s="211"/>
      <c r="CA194" s="211"/>
      <c r="CB194" s="211"/>
      <c r="CC194" s="211"/>
      <c r="CD194" s="149"/>
    </row>
    <row r="195" spans="2:83" ht="45" customHeight="1" thickBot="1" x14ac:dyDescent="0.3">
      <c r="B195" s="744" t="s">
        <v>293</v>
      </c>
      <c r="C195" s="744"/>
      <c r="D195" s="744"/>
      <c r="E195" s="744"/>
      <c r="F195" s="744"/>
      <c r="G195" s="744"/>
      <c r="H195" s="744"/>
      <c r="I195" s="744"/>
      <c r="J195" s="328"/>
      <c r="K195" s="328"/>
      <c r="L195" s="328"/>
      <c r="M195" s="328"/>
      <c r="N195" s="328"/>
      <c r="O195" s="328"/>
      <c r="P195" s="328"/>
      <c r="Q195" s="328"/>
      <c r="R195" s="328"/>
      <c r="S195" s="328"/>
      <c r="T195" s="328"/>
      <c r="U195" s="328"/>
      <c r="V195" s="328"/>
      <c r="W195" s="328"/>
      <c r="X195" s="328"/>
      <c r="Y195" s="328"/>
      <c r="Z195" s="328"/>
      <c r="AA195" s="328"/>
      <c r="AB195" s="328"/>
      <c r="AC195" s="328"/>
      <c r="AD195" s="336">
        <f t="shared" ref="AD195:AM195" si="232">SUM(AD179:AD183,AD184:AD194)</f>
        <v>0</v>
      </c>
      <c r="AE195" s="336">
        <f t="shared" si="232"/>
        <v>0</v>
      </c>
      <c r="AF195" s="336">
        <f t="shared" si="232"/>
        <v>0</v>
      </c>
      <c r="AG195" s="336">
        <f t="shared" si="232"/>
        <v>0</v>
      </c>
      <c r="AH195" s="336">
        <f t="shared" si="232"/>
        <v>0</v>
      </c>
      <c r="AI195" s="336">
        <f t="shared" si="232"/>
        <v>0</v>
      </c>
      <c r="AJ195" s="336">
        <f t="shared" si="232"/>
        <v>0</v>
      </c>
      <c r="AK195" s="336">
        <f t="shared" si="232"/>
        <v>0</v>
      </c>
      <c r="AL195" s="336">
        <f t="shared" si="232"/>
        <v>0</v>
      </c>
      <c r="AM195" s="336">
        <f t="shared" si="232"/>
        <v>0</v>
      </c>
      <c r="AN195" s="508">
        <f>SUM(MatSupTOT,AN184:AN194)</f>
        <v>0</v>
      </c>
      <c r="AO195" s="512">
        <f>OtherDirCostsTOT+AZ195</f>
        <v>0</v>
      </c>
      <c r="AP195" s="595">
        <f>SUM(AP179:AP194)</f>
        <v>0</v>
      </c>
      <c r="AQ195" s="594">
        <f>SUM(AQ179:AQ194)</f>
        <v>0</v>
      </c>
      <c r="AR195" s="594">
        <f>SUM(AR179:AR194)</f>
        <v>0</v>
      </c>
      <c r="AS195" s="594">
        <f>SUM(AS179:AS194)</f>
        <v>0</v>
      </c>
      <c r="AT195" s="594">
        <f>SUM(AT179:AT194)</f>
        <v>0</v>
      </c>
      <c r="AU195" s="594">
        <f t="shared" ref="AU195:AY195" si="233">SUM(AU179:AU194)</f>
        <v>0</v>
      </c>
      <c r="AV195" s="594">
        <f t="shared" si="233"/>
        <v>0</v>
      </c>
      <c r="AW195" s="594">
        <f t="shared" si="233"/>
        <v>0</v>
      </c>
      <c r="AX195" s="594">
        <f t="shared" si="233"/>
        <v>0</v>
      </c>
      <c r="AY195" s="594">
        <f t="shared" si="233"/>
        <v>0</v>
      </c>
      <c r="AZ195" s="602">
        <f t="shared" ref="AZ195" si="234">SUM(AP195:AT195)</f>
        <v>0</v>
      </c>
      <c r="BA195" s="603"/>
      <c r="BB195" s="836" t="s">
        <v>293</v>
      </c>
      <c r="BC195" s="836"/>
      <c r="BD195" s="836"/>
      <c r="BE195" s="836"/>
      <c r="BF195" s="836"/>
      <c r="BG195" s="836"/>
      <c r="BH195" s="836"/>
      <c r="BI195" s="836"/>
      <c r="BJ195" s="836"/>
      <c r="BK195" s="836"/>
      <c r="BL195" s="836"/>
      <c r="BM195" s="836"/>
      <c r="BN195" s="836"/>
      <c r="BO195" s="836"/>
      <c r="BP195" s="836"/>
      <c r="BQ195" s="836"/>
      <c r="BR195" s="836"/>
      <c r="BS195" s="836"/>
      <c r="BT195" s="836"/>
      <c r="BU195" s="836"/>
      <c r="BV195" s="836"/>
      <c r="BW195" s="836"/>
      <c r="BX195" s="836"/>
      <c r="BY195" s="836"/>
      <c r="BZ195" s="836"/>
      <c r="CA195" s="836"/>
      <c r="CB195" s="836"/>
      <c r="CC195" s="836"/>
      <c r="CD195" s="837"/>
    </row>
    <row r="196" spans="2:83" ht="47.25" customHeight="1" thickBot="1" x14ac:dyDescent="0.35">
      <c r="B196" s="766" t="s">
        <v>294</v>
      </c>
      <c r="C196" s="766"/>
      <c r="D196" s="766"/>
      <c r="E196" s="766"/>
      <c r="F196" s="766"/>
      <c r="G196" s="766"/>
      <c r="H196" s="766"/>
      <c r="I196" s="766"/>
      <c r="J196" s="766"/>
      <c r="K196" s="766"/>
      <c r="L196" s="766"/>
      <c r="M196" s="766"/>
      <c r="N196" s="766"/>
      <c r="O196" s="766"/>
      <c r="P196" s="766"/>
      <c r="Q196" s="766"/>
      <c r="R196" s="766"/>
      <c r="S196" s="766"/>
      <c r="T196" s="766"/>
      <c r="U196" s="766"/>
      <c r="V196" s="766"/>
      <c r="W196" s="766"/>
      <c r="X196" s="766"/>
      <c r="Y196" s="766"/>
      <c r="Z196" s="766"/>
      <c r="AA196" s="766"/>
      <c r="AB196" s="766"/>
      <c r="AC196" s="766"/>
      <c r="AD196" s="766"/>
      <c r="AE196" s="766"/>
      <c r="AF196" s="766"/>
      <c r="AG196" s="766"/>
      <c r="AH196" s="766"/>
      <c r="AI196" s="766"/>
      <c r="AJ196" s="766"/>
      <c r="AK196" s="766"/>
      <c r="AL196" s="766"/>
      <c r="AM196" s="766"/>
      <c r="AN196" s="767"/>
      <c r="AO196" s="512"/>
      <c r="AP196" s="722" t="s">
        <v>295</v>
      </c>
      <c r="AQ196" s="722"/>
      <c r="AR196" s="722"/>
      <c r="AS196" s="722"/>
      <c r="AT196" s="722"/>
      <c r="AU196" s="722"/>
      <c r="AV196" s="722"/>
      <c r="AW196" s="722"/>
      <c r="AX196" s="722"/>
      <c r="AY196" s="722"/>
      <c r="AZ196" s="722"/>
      <c r="BA196" s="722"/>
      <c r="BB196" s="722"/>
      <c r="BC196" s="722"/>
      <c r="BD196" s="722"/>
      <c r="BE196" s="722"/>
      <c r="BF196" s="722"/>
      <c r="BG196" s="722"/>
      <c r="BH196" s="722"/>
      <c r="BI196" s="722"/>
      <c r="BJ196" s="722"/>
      <c r="BK196" s="722"/>
      <c r="BL196" s="722"/>
      <c r="BM196" s="722"/>
      <c r="BN196" s="722"/>
      <c r="BO196" s="722"/>
      <c r="BP196" s="722"/>
      <c r="BQ196" s="722"/>
      <c r="BR196" s="722"/>
      <c r="BS196" s="722"/>
      <c r="BT196" s="722"/>
      <c r="BU196" s="722"/>
      <c r="BV196" s="722"/>
      <c r="BW196" s="722"/>
      <c r="BX196" s="722"/>
      <c r="BY196" s="722"/>
      <c r="BZ196" s="722"/>
      <c r="CA196" s="722"/>
      <c r="CB196" s="722"/>
      <c r="CC196" s="722"/>
      <c r="CD196" s="722"/>
    </row>
    <row r="197" spans="2:83" ht="32.25" customHeight="1" thickTop="1" x14ac:dyDescent="0.3">
      <c r="B197" s="4"/>
      <c r="C197" s="311" t="s">
        <v>296</v>
      </c>
      <c r="D197" s="48" t="s">
        <v>297</v>
      </c>
      <c r="E197" s="768"/>
      <c r="F197" s="768"/>
      <c r="G197" s="768"/>
      <c r="H197" s="768"/>
      <c r="I197" s="768"/>
      <c r="J197" s="768"/>
      <c r="K197" s="768"/>
      <c r="L197" s="768"/>
      <c r="M197" s="768"/>
      <c r="N197" s="768"/>
      <c r="O197" s="768"/>
      <c r="P197" s="768"/>
      <c r="Q197" s="768"/>
      <c r="R197" s="768"/>
      <c r="S197" s="768"/>
      <c r="T197" s="768"/>
      <c r="U197" s="768"/>
      <c r="V197" s="156"/>
      <c r="W197" s="156"/>
      <c r="X197" s="156"/>
      <c r="Y197" s="156"/>
      <c r="Z197" s="156"/>
      <c r="AA197" s="156"/>
      <c r="AB197" s="156"/>
      <c r="AC197" s="156"/>
      <c r="AD197" s="266"/>
      <c r="AE197" s="266"/>
      <c r="AF197" s="266"/>
      <c r="AG197" s="266"/>
      <c r="AH197" s="266"/>
      <c r="AI197" s="266"/>
      <c r="AJ197" s="545"/>
      <c r="AK197" s="547"/>
      <c r="AL197" s="547"/>
      <c r="AM197" s="267"/>
      <c r="AN197" s="71">
        <f t="shared" ref="AN197:AN206" si="235">SUM(AD197:AM197)</f>
        <v>0</v>
      </c>
      <c r="AO197" s="512">
        <f t="shared" ref="AO197:AO208" si="236">AN197+AZ197</f>
        <v>0</v>
      </c>
      <c r="AP197" s="267"/>
      <c r="AQ197" s="266"/>
      <c r="AR197" s="266"/>
      <c r="AS197" s="266"/>
      <c r="AT197" s="266"/>
      <c r="AU197" s="266"/>
      <c r="AV197" s="266"/>
      <c r="AW197" s="266"/>
      <c r="AX197" s="266"/>
      <c r="AY197" s="266"/>
      <c r="AZ197" s="247">
        <f t="shared" ref="AZ197:AZ206" si="237">SUM(AP197:AY197)</f>
        <v>0</v>
      </c>
      <c r="BB197" s="611" t="s">
        <v>296</v>
      </c>
      <c r="BC197" s="4" t="s">
        <v>297</v>
      </c>
      <c r="BD197" s="22"/>
      <c r="BE197" s="22"/>
      <c r="BF197" s="22"/>
      <c r="BG197" s="22"/>
      <c r="BH197" s="22"/>
      <c r="BI197" s="22"/>
      <c r="BJ197" s="22"/>
      <c r="BK197" s="22"/>
      <c r="BU197" s="22"/>
      <c r="BV197" s="22"/>
      <c r="BW197" s="22"/>
      <c r="BX197" s="22"/>
      <c r="BY197" s="22"/>
      <c r="BZ197" s="22"/>
      <c r="CA197" s="22"/>
      <c r="CB197" s="22"/>
      <c r="CC197" s="22"/>
      <c r="CD197" s="149"/>
    </row>
    <row r="198" spans="2:83" ht="33" customHeight="1" thickBot="1" x14ac:dyDescent="0.3">
      <c r="B198" s="4"/>
      <c r="C198" s="75"/>
      <c r="D198" s="76" t="s">
        <v>298</v>
      </c>
      <c r="E198" s="734" t="s">
        <v>299</v>
      </c>
      <c r="F198" s="734"/>
      <c r="G198" s="734"/>
      <c r="H198" s="734"/>
      <c r="I198" s="734"/>
      <c r="J198" s="734"/>
      <c r="K198" s="734"/>
      <c r="L198" s="734"/>
      <c r="M198" s="734"/>
      <c r="N198" s="734"/>
      <c r="O198" s="734"/>
      <c r="P198" s="734"/>
      <c r="Q198" s="734"/>
      <c r="R198" s="734"/>
      <c r="S198" s="734"/>
      <c r="T198" s="734"/>
      <c r="U198" s="734"/>
      <c r="V198" s="155"/>
      <c r="W198" s="155"/>
      <c r="X198" s="155"/>
      <c r="Y198" s="155"/>
      <c r="Z198" s="155"/>
      <c r="AA198" s="155"/>
      <c r="AB198" s="155"/>
      <c r="AC198" s="155"/>
      <c r="AD198" s="73">
        <f>IF(Sub1Yr1 &gt; 25000, Sub1Yr1-25000, 0)</f>
        <v>0</v>
      </c>
      <c r="AE198" s="73">
        <f>IF(ExclSub1Yr1 &gt; 0, Sub1Yr2, IF(Sub1Yr1 + Sub1Yr2 &gt; 25000, Sub1Yr1 + Sub1Yr2 - 25000, 0))</f>
        <v>0</v>
      </c>
      <c r="AF198" s="73">
        <f>IF((ExclSub1Yr1 + ExclSub1Yr2) &gt; 0, Sub1Yr3, IF(Sub1Yr1 + Sub1Yr2 + Sub1Yr3 &gt; 25000, Sub1Yr1 + Sub1Yr2 + Sub1Yr3 - 25000, 0))</f>
        <v>0</v>
      </c>
      <c r="AG198" s="73">
        <f>IF((ExclSub1Yr1 + ExclSub1Yr2 + ExclSub1Yr3) &gt; 0,Sub1Yr4, IF(Sub1Yr1 + Sub1Yr2 + Sub1Yr3 + Sub1Yr4 &gt; 25000, Sub1Yr1 + Sub1Yr2 + Sub1Yr3 + Sub1Yr4 - 25000, 0))</f>
        <v>0</v>
      </c>
      <c r="AH198" s="543">
        <f>IF((ExclSub1Yr1 + ExclSub1Yr2 + ExclSub1Yr3 + ExclSub1Yr4) &gt; 0, Sub1Yr5, IF(Sub1Yr1 + Sub1Yr2 + Sub1Yr3+ Sub1Yr4 + Sub1Yr5 &gt; 25000, Sub1Yr1 + Sub1Yr2 + Sub1Yr3 + Sub1Yr4 + Sub1Yr5 - 25000, 0))</f>
        <v>0</v>
      </c>
      <c r="AI198" s="544">
        <f>IF((ExclSub1Yr1 + ExclSub1Yr2 + ExclSub1Yr3 + ExclSub1Yr4 + ExclSub1Yr5) &gt; 0, Sub1Yr6, IF(Sub1Yr1 + Sub1Yr2 + Sub1Yr3 + Sub1Yr4 + Sub1Yr5 + Sub1Yr6 &gt; 25000, Sub1Yr1 + Sub1Yr2 + Sub1Yr3 +Sub1Yr4 + Sub1Yr5 + Sub1Yr6-25000,0))</f>
        <v>0</v>
      </c>
      <c r="AJ198" s="546" cm="1">
        <f t="array" ref="AJ198">IF((ExclSub1Yr1 + ExclSub1Yr2 + ExclSub1Yr3 + ExclSub1Yr4 + ExclSub1Yr5 + ExclSub1Yr6) &gt; 0, Sub1Yr7, IF(Sub1Yr1 + Sub1Yr2 + Sub1Yr3 + Sub1Yr4 + Sub1Yr5 + Sub1Yr6 + Sub1Yr7&gt;25000, Sub1Yr1 + Sub1Yr2 + Sub1Yr3 + Sub1Yr4 +Sub1Yr5 + Sub1Yr6 + Sub1Yr7-25000,0))</f>
        <v>0</v>
      </c>
      <c r="AK198" s="544" cm="1">
        <f t="array" ref="AK198">IF((ExclSub1Yr1+ExclSub1Yr2+ExclSub1Yr3+ExclSub1Yr4+ExclSub1Yr5+ExclSub1Yr6+ExclSub1Yr7)&gt;0,Sub1Yr8,IF(Sub1Yr1+Sub1Yr2+Sub1Yr3+Sub1Yr4+Sub1Yr5+Sub1Yr6+Sub1Yr7+Sub1Yr8&gt;25000,Sub1Yr1+Sub1Yr2+Sub1Yr3+Sub1Yr4+Sub1Yr5+Sub1Yr6+Sub1Yr7+Sub1Yr8-25000,0))</f>
        <v>0</v>
      </c>
      <c r="AL198" s="544" cm="1">
        <f t="array" ref="AL198">IF((ExclSub1Yr1+ExclSub1Yr2+ExclSub1Yr3+ExclSub1Yr4+ExclSub1Yr5+ExclSub1Yr6+ExclSub1Yr7+ExclSub1Yr8)&gt;0,Sub1Yr9,IF(Sub1Yr1+Sub1Yr2+Sub1Yr3+Sub1Yr4+Sub1Yr5+Sub1Yr6+Sub1Yr7+Sub1Yr8+Sub1Yr9&gt;25000,Sub1Yr1+Sub1Yr2+Sub1Yr3+Sub1Yr4+Sub1Yr5+Sub1Yr6+Sub1Yr7+Sub1Yr8+Sub1Yr9-25000,0))</f>
        <v>0</v>
      </c>
      <c r="AM198" s="539" cm="1">
        <f t="array" ref="AM198">IF((ExclSub1Yr1+ExclSub1Yr2+ExclSub1Yr3+ExclSub1Yr4+ExclSub1Yr5+ExclSub1Yr6+ExclSub1Yr7+ExclSub1Yr8+ExclSub1Yr9)&gt;0,Sub1Yr10,IF(Sub1Yr1+Sub1Yr2+Sub1Yr3+Sub1Yr4+Sub1Yr5+Sub1Yr6+Sub1Yr7+Sub1Yr8+Sub1Yr9+Sub1Yr10&gt;25000,Sub1Yr1+Sub1Yr2+Sub1Yr3+Sub1Yr4+Sub1Yr5+Sub1Yr6+Sub1Yr7+Sub1Yr8+Sub1Yr9+Sub1Yr10-25000,0))</f>
        <v>0</v>
      </c>
      <c r="AN198" s="74">
        <f t="shared" si="235"/>
        <v>0</v>
      </c>
      <c r="AO198" s="512">
        <f t="shared" si="236"/>
        <v>0</v>
      </c>
      <c r="AP198" s="524">
        <f>IF(cs.Sub1Yr1 &gt; 25000, cs.Sub1Yr1 - 25000, 0)</f>
        <v>0</v>
      </c>
      <c r="AQ198" s="242">
        <f>IF(cs.ExclSub1Yr1 &gt; 0, cs.Sub1Yr2, IF(cs.Sub1Yr1 + cs.Sub1Yr2 &gt; 25000, cs.Sub1Yr1 + cs.Sub1Yr2 - 25000, 0))</f>
        <v>0</v>
      </c>
      <c r="AR198" s="242">
        <f>IF((cs.ExclSub1Yr1 + cs.ExclSub1Yr2) &gt; 0, cs.Sub1Yr3, IF(cs.Sub1Yr1 + cs.Sub1Yr2 + cs.Sub1Yr3 &gt; 25000, cs.Sub1Yr1 + cs.Sub1Yr2 + cs.Sub1Yr3 - 25000,0))</f>
        <v>0</v>
      </c>
      <c r="AS198" s="242">
        <f>IF((cs.ExclSub1Yr1 + cs.ExclSub1Yr2 + cs.ExclSub1Yr3) &gt; 0, cs.Sub1Yr4, IF(cs.Sub1Yr1 + cs.Sub1Yr2 + cs.Sub1Yr3 + cs.Sub1Yr4 &gt; 25000, cs.Sub1Yr1 + cs.Sub1Yr2 + cs.Sub1Yr3 + cs.Sub1Yr4 - 25000, 0))</f>
        <v>0</v>
      </c>
      <c r="AT198" s="242">
        <f t="shared" ref="AT198" si="238">IF((cs.ExclSub1Yr1 + cs.ExclSub1Yr2 + cs.ExclSub1Yr3 + cs.ExclSub1Yr4) &gt; 0, cs.Sub1Yr5, IF(cs.Sub1Yr1 + cs.Sub1Yr2 + cs.Sub1Yr3 + cs.Sub1Yr4 + cs.Sub1Yr5 &gt; 25000, cs.Sub1Yr1 + cs.Sub1Yr2 + cs.Sub1Yr3 + cs.Sub1Yr4 + cs.Sub1Yr5 - 25000, 0))</f>
        <v>0</v>
      </c>
      <c r="AU198" s="242">
        <f>IF((cs.ExclSub1Yr1 + cs.ExclSub1Yr2 + cs.ExclSub1Yr3 + cs.ExclSub1Yr4 + cs.ExclSub1Yr5) &gt; 0, cs.Sub1Yr6, IF(cs.Sub1Yr1 + cs.Sub1Yr2 + cs.Sub1Yr3 + cs.Sub1Yr4 + cs.Sub1Yr5 + cs.Sub1Yr6 &gt; 25000, cs.Sub1Yr1 + cs.Sub1Yr2 + cs.Sub1Yr3 + cs.Sub1Yr4 + cs.Sub1Yr5 + cs.Sub1Yr6 - 25000, 0))</f>
        <v>0</v>
      </c>
      <c r="AV198" s="242">
        <f>IF((cs.ExclSub1Yr1 + cs.ExclSub1Yr2 + cs.ExclSub1Yr3 + cs.ExclSub1Yr4 +cs.ExclSub1Yr5 + cs.ExclSub1Yr6) &gt; 0, cs.Sub1Yr7, IF(cs.Sub1Yr1 + cs.Sub1Yr2 + cs.Sub1Yr3 + cs.Sub1Yr4 + cs.Sub1Yr5 +cs.Sub1Yr6 + cs.Sub1Yr7 &gt; 25000, cs.Sub1Yr1 + cs.Sub1Yr2 + cs.Sub1Yr3 + cs.Sub1Yr4 + cs.Sub1Yr5 + cs.Sub1Yr6 +cs.Sub1Yr7 - 25000, 0))</f>
        <v>0</v>
      </c>
      <c r="AW198" s="242">
        <f>IF((cs.ExclSub1Yr1 + cs.ExclSub1Yr2 + cs.ExclSub1Yr3 + cs.ExclSub1Yr4 +cs.ExclSub1Yr5 + cs.ExclSub1Yr6 + cs.ExclSub1Yr7) &gt; 0, cs.Sub1Yr8, IF(cs.Sub1Yr1 + cs.Sub1Yr2 + cs.Sub1Yr3 + cs.Sub1Yr4 + cs.Sub1Yr5 +cs.Sub1Yr6 + cs.Sub1Yr7 +cs.Sub1Yr8 &gt; 25000, cs.Sub1Yr1 + cs.Sub1Yr2 + cs.Sub1Yr3 + cs.Sub1Yr4 + cs.Sub1Yr5 + cs.Sub1Yr6 + cs.Sub1Yr7 +cs.Sub1Yr8 - 25000, 0))</f>
        <v>0</v>
      </c>
      <c r="AX198" s="242">
        <f>IF((cs.ExclSub1Yr1 + cs.ExclSub1Yr2 + cs.ExclSub1Yr3 + cs.ExclSub1Yr4 + cs.ExclSub1Yr5 + cs.ExclSub1Yr6 + cs.ExclSub1Yr7 + cs.ExclSub1Yr8) &gt; 0, cs.Sub1Yr9, IF(cs.Sub1Yr1 + cs.Sub1Yr2 + cs.Sub1Yr3 + cs.Sub1Yr4 + cs.Sub1Yr5 + cs.Sub1Yr6 + cs.Sub1Yr7 + cs.Sub1Yr8 + cs.Sub1Yr9 &gt; 25000, cs.Sub1Yr1 + cs.Sub1Yr2 + cs.Sub1Yr3 + cs.Sub1Yr4 + cs.Sub1Yr5 + cs.Sub1Yr6 + cs.Sub1Yr7 +cs.Sub1Yr8 + cs.Sub1Yr9 - 25000, 0))</f>
        <v>0</v>
      </c>
      <c r="AY198" s="242">
        <f>IF((cs.ExclSub1Yr1 + cs.ExclSub1Yr2 + cs.ExclSub1Yr3 + cs.ExclSub1Yr4 + cs.ExclSub1Yr5 + cs.ExclSub1Yr6 + cs.ExclSub1Yr7 + cs.ExclSub1Yr8 + cs.ExclSub1Yr9) &gt; 0, cs.Sub1Yr10, IF(cs.Sub1Yr1 + cs.Sub1Yr2 + cs.Sub1Yr3 + cs.Sub1Yr4 + cs.Sub1Yr5 + cs.Sub1Yr6 + cs.Sub1Yr7 + cs.Sub1Yr8 + cs.Sub1Yr9 + cs.Sub1Yr10 &gt; 25000, cs.Sub1Yr1 + cs.Sub1Yr2 + cs.Sub1Yr3 + cs.Sub1Yr4 + cs.Sub1Yr5 + cs.Sub1Yr6 + cs.Sub1Yr7 + cs.Sub1Yr8 + cs.Sub1Yr9 + cs.Sub1Yr10 - 25000, 0))</f>
        <v>0</v>
      </c>
      <c r="AZ198" s="243">
        <f t="shared" si="237"/>
        <v>0</v>
      </c>
      <c r="BB198" s="78"/>
      <c r="BC198" s="79" t="s">
        <v>298</v>
      </c>
      <c r="BD198" s="80"/>
      <c r="BE198" s="855" t="s">
        <v>299</v>
      </c>
      <c r="BF198" s="855"/>
      <c r="BG198" s="855"/>
      <c r="BH198" s="855"/>
      <c r="BI198" s="855"/>
      <c r="BJ198" s="855"/>
      <c r="BK198" s="855"/>
      <c r="BL198" s="855"/>
      <c r="BM198" s="855"/>
      <c r="BN198" s="855"/>
      <c r="BO198" s="855"/>
      <c r="BP198" s="141"/>
      <c r="BQ198" s="141"/>
      <c r="BR198" s="141"/>
      <c r="BU198" s="22"/>
      <c r="BV198" s="22"/>
      <c r="BW198" s="22"/>
      <c r="BX198" s="22"/>
      <c r="BY198" s="22"/>
      <c r="BZ198" s="22"/>
      <c r="CA198" s="22"/>
      <c r="CB198" s="22"/>
      <c r="CC198" s="22"/>
      <c r="CD198" s="149"/>
    </row>
    <row r="199" spans="2:83" ht="33" hidden="1" customHeight="1" outlineLevel="1" x14ac:dyDescent="0.3">
      <c r="B199" s="5"/>
      <c r="C199" s="312" t="s">
        <v>300</v>
      </c>
      <c r="D199" s="48" t="s">
        <v>297</v>
      </c>
      <c r="E199" s="733"/>
      <c r="F199" s="733"/>
      <c r="G199" s="733"/>
      <c r="H199" s="733"/>
      <c r="I199" s="733"/>
      <c r="J199" s="733"/>
      <c r="K199" s="733"/>
      <c r="L199" s="733"/>
      <c r="M199" s="733"/>
      <c r="N199" s="733"/>
      <c r="O199" s="733"/>
      <c r="P199" s="733"/>
      <c r="Q199" s="733"/>
      <c r="R199" s="733"/>
      <c r="S199" s="733"/>
      <c r="T199" s="733"/>
      <c r="U199" s="733"/>
      <c r="V199" s="154"/>
      <c r="W199" s="154"/>
      <c r="X199" s="154"/>
      <c r="Y199" s="154"/>
      <c r="Z199" s="154"/>
      <c r="AA199" s="154"/>
      <c r="AB199" s="154"/>
      <c r="AC199" s="154"/>
      <c r="AD199" s="271"/>
      <c r="AE199" s="271"/>
      <c r="AF199" s="271"/>
      <c r="AG199" s="308"/>
      <c r="AH199" s="308"/>
      <c r="AI199" s="308"/>
      <c r="AJ199" s="308"/>
      <c r="AK199" s="308"/>
      <c r="AL199" s="308"/>
      <c r="AM199" s="615"/>
      <c r="AN199" s="309">
        <f t="shared" si="235"/>
        <v>0</v>
      </c>
      <c r="AO199" s="512">
        <f t="shared" si="236"/>
        <v>0</v>
      </c>
      <c r="AP199" s="267"/>
      <c r="AQ199" s="266"/>
      <c r="AR199" s="266"/>
      <c r="AS199" s="266"/>
      <c r="AT199" s="266"/>
      <c r="AU199" s="266"/>
      <c r="AV199" s="266"/>
      <c r="AW199" s="266"/>
      <c r="AX199" s="266"/>
      <c r="AY199" s="266"/>
      <c r="AZ199" s="247">
        <f t="shared" si="237"/>
        <v>0</v>
      </c>
      <c r="BB199" s="612" t="s">
        <v>300</v>
      </c>
      <c r="BC199" s="5" t="s">
        <v>297</v>
      </c>
      <c r="BD199" s="22"/>
      <c r="BE199" s="22"/>
      <c r="BF199" s="22"/>
      <c r="BG199" s="22"/>
      <c r="BH199" s="22"/>
      <c r="BI199" s="22"/>
      <c r="BJ199" s="22"/>
      <c r="BK199" s="22"/>
      <c r="BU199" s="22"/>
      <c r="BV199" s="22"/>
      <c r="BW199" s="22"/>
      <c r="BX199" s="22"/>
      <c r="BY199" s="22"/>
      <c r="BZ199" s="22"/>
      <c r="CA199" s="22"/>
      <c r="CB199" s="22"/>
      <c r="CC199" s="22"/>
      <c r="CD199" s="149"/>
    </row>
    <row r="200" spans="2:83" ht="32.25" hidden="1" customHeight="1" outlineLevel="1" thickBot="1" x14ac:dyDescent="0.3">
      <c r="B200" s="5"/>
      <c r="C200" s="77"/>
      <c r="D200" s="76" t="s">
        <v>298</v>
      </c>
      <c r="E200" s="734" t="s">
        <v>299</v>
      </c>
      <c r="F200" s="734"/>
      <c r="G200" s="734"/>
      <c r="H200" s="734"/>
      <c r="I200" s="734"/>
      <c r="J200" s="734"/>
      <c r="K200" s="734"/>
      <c r="L200" s="734"/>
      <c r="M200" s="734"/>
      <c r="N200" s="734"/>
      <c r="O200" s="734"/>
      <c r="P200" s="734"/>
      <c r="Q200" s="734"/>
      <c r="R200" s="734"/>
      <c r="S200" s="734"/>
      <c r="T200" s="734"/>
      <c r="U200" s="734"/>
      <c r="V200" s="155"/>
      <c r="W200" s="155"/>
      <c r="X200" s="155"/>
      <c r="Y200" s="155"/>
      <c r="Z200" s="155"/>
      <c r="AA200" s="155"/>
      <c r="AB200" s="155"/>
      <c r="AC200" s="155"/>
      <c r="AD200" s="73">
        <f>IF(Sub2Yr1 &gt; 25000, Sub2Yr1 - 25000, 0)</f>
        <v>0</v>
      </c>
      <c r="AE200" s="73">
        <f>IF(ExclSub2Yr1&gt;0,Sub2Yr2,IF(Sub2Yr1+Sub2Yr2&gt;25000,Sub2Yr1+Sub2Yr2-25000,0))</f>
        <v>0</v>
      </c>
      <c r="AF200" s="73">
        <f>IF(ExclSub2Yr1 + ExclSub2Yr2 &gt; 0, Sub2Yr3, IF(Sub2Yr1 + Sub2Yr2 + Sub2Yr3 &gt; 25000, Sub2Yr1 + Sub2Yr2 + Sub2Yr3 - 25000, 0))</f>
        <v>0</v>
      </c>
      <c r="AG200" s="73">
        <f>IF((ExclSub2Yr1 + ExclSub2Yr2 + ExclSub2Yr3) &gt; 0, Sub2Yr4, IF(Sub2Yr1 + Sub2Yr2 + Sub2Yr3 + Sub2Yr4 &gt; 25000, Sub2Yr1 + Sub2Yr2 + Sub2Yr3 + Sub2Yr4 - 25000, 0))</f>
        <v>0</v>
      </c>
      <c r="AH200" s="310">
        <f>IF((ExclSub2Yr1 + ExclSub2Yr2 + ExclSub2Yr3 + ExclSub2Yr4) &gt; 0, Sub2Yr5, IF(Sub2Yr1 + Sub2Yr2 + Sub2Yr3+ Sub2Yr4 + Sub2Yr5 &gt; 25000, Sub2Yr1 + Sub2Yr2 + Sub2Yr3 + Sub2Yr4 + Sub2Yr5 - 25000, 0))</f>
        <v>0</v>
      </c>
      <c r="AI200" s="310">
        <f>IF((ExclSub2Yr1+ExclSub2Yr2+ExclSub2Yr3+ExclSub2Yr4+ExclSub2Yr5)&gt;0,Sub2Yr6,IF(Sub2Yr1+Sub2Yr2+Sub2Yr3+Sub2Yr4+Sub2Yr5+Sub2Yr6&gt;25000,Sub2Yr1+Sub2Yr2+Sub2Yr3+Sub2Yr4+Sub2Yr5+Sub2Yr6-25000,0))</f>
        <v>0</v>
      </c>
      <c r="AJ200" s="310" cm="1">
        <f t="array" ref="AJ200">IF((ExclSub2Yr1+ExclSub2Yr2+ExclSub2Yr3+ExclSub2Yr4+ExclSub2Yr5+ExclSub2Yr6)&gt;0,Sub2Yr7,IF(Sub2Yr1+Sub2Yr2+Sub2Yr3+Sub2Yr4+Sub2Yr5+Sub2Yr6+Sub2Yr7&gt;25000,Sub2Yr1+Sub2Yr2+Sub2Yr3+Sub2Yr4+Sub2Yr5+Sub2Yr6+Sub2Yr7-25000,0))</f>
        <v>0</v>
      </c>
      <c r="AK200" s="310" cm="1">
        <f t="array" ref="AK200">IF((ExclSub2Yr1+ExclSub2Yr2+ExclSub2Yr3+ExclSub2Yr4+ExclSub2Yr5+ExclSub2Yr6+ExclSub2Yr7)&gt;0,Sub2Yr8,IF(Sub2Yr1+Sub2Yr2+Sub2Yr3+Sub2Yr4+Sub2Yr5+Sub2Yr6+Sub2Yr7+Sub2Yr8&gt;25000,Sub2Yr1+Sub2Yr2+Sub2Yr3+Sub2Yr4+Sub2Yr5+Sub2Yr6+Sub2Yr7+Sub2Yr8-25000,0))</f>
        <v>0</v>
      </c>
      <c r="AL200" s="310" cm="1">
        <f t="array" ref="AL200">IF((ExclSub2Yr1+ExclSub2Yr2+ExclSub2Yr3+ExclSub2Yr4+ExclSub2Yr5+ExclSub2Yr6+ExclSub2Yr7+ExclSub2Yr8)&gt;0,Sub2Yr9,IF(Sub2Yr1+Sub2Yr2+Sub2Yr3+Sub2Yr4+Sub2Yr5+Sub2Yr6+Sub2Yr7+Sub2Yr8+Sub2Yr9&gt;25000,Sub2Yr1+Sub2Yr2+Sub2Yr3+Sub2Yr4+Sub2Yr5+Sub2Yr6+Sub2Yr7+Sub2Yr8+Sub2Yr9-25000,0))</f>
        <v>0</v>
      </c>
      <c r="AM200" s="310" cm="1">
        <f t="array" ref="AM200">IF((ExclSub2Yr1+ExclSub2Yr2+ExclSub2Yr3+ExclSub2Yr4+ExclSub2Yr5+ExclSub2Yr6+ExclSub2Yr7+ExclSub2Yr8+ExclSub2Yr9)&gt;0,Sub2Yr10,IF(Sub2Yr1+Sub2Yr2+Sub2Yr3+Sub2Yr4+Sub2Yr5+Sub2Yr6+Sub2Yr7+Sub2Yr8+Sub2Yr9+Sub2Yr10&gt;25000,Sub2Yr1+Sub2Yr2+Sub2Yr3+Sub2Yr4+Sub2Yr5+Sub2Yr6+Sub2Yr7+Sub2Yr8+Sub2Yr9+Sub2Yr10-25000,0))</f>
        <v>0</v>
      </c>
      <c r="AN200" s="74">
        <f t="shared" si="235"/>
        <v>0</v>
      </c>
      <c r="AO200" s="512">
        <f t="shared" si="236"/>
        <v>0</v>
      </c>
      <c r="AP200" s="524">
        <f>IF(cs.Sub2Yr1 &gt; 25000, cs.Sub2Yr1 - 25000, 0)</f>
        <v>0</v>
      </c>
      <c r="AQ200" s="242">
        <f>IF(cs.ExclSub2Yr1 &gt; 0,cs.Sub2Yr2, IF(cs.Sub2Yr1 + cs.Sub2Yr2 &gt; 25000, cs.Sub2Yr1 + cs.Sub2Yr2 - 25000,0))</f>
        <v>0</v>
      </c>
      <c r="AR200" s="242">
        <f>IF((cs.ExclSub2Yr1 + cs.ExclSub2Yr2) &gt; 0,cs.Sub2Yr3, IF(cs.Sub2Yr1 + cs.Sub2Yr2 + cs.Sub2Yr3 &gt; 25000, cs.Sub2Yr1 + cs.Sub2Yr2 + cs.Sub2Yr3 - 25000, 0))</f>
        <v>0</v>
      </c>
      <c r="AS200" s="242">
        <f>IF((cs.ExclSub2Yr1 + cs.ExclSub2Yr2 + cs.ExclSub2Yr3) &gt; 0, cs.Sub2Yr4, IF(cs.Sub2Yr1 + cs.Sub2Yr2 + cs.Sub2Yr3 + cs.Sub2Yr4 &gt; 25000, cs.Sub2Yr1 + cs.Sub2Yr2 + cs.Sub2Yr3 + cs.Sub2Yr4 - 25000, 0))</f>
        <v>0</v>
      </c>
      <c r="AT200" s="242">
        <f t="shared" ref="AT200" si="239">IF((cs.ExclSub2Yr1 + cs.ExclSub2Yr2 + cs.ExclSub2Yr3 + cs.ExclSub2Yr4) &gt; 0, cs.Sub2Yr5, IF(cs.Sub2Yr1 + cs.Sub2Yr2 + cs.Sub2Yr3 + cs.Sub2Yr4 + cs.Sub2Yr5 &gt; 25000, cs.Sub2Yr1 + cs.Sub2Yr2 + cs.Sub2Yr3 + cs.Sub2Yr4 + cs.Sub2Yr5 - 25000, 0))</f>
        <v>0</v>
      </c>
      <c r="AU200" s="242">
        <f>IF((cs.ExclSub2Yr1 + cs.ExclSub2Yr2 + cs.ExclSub2Yr3 + cs.ExclSub2Yr4 + cs.ExclSub2Yr5) &gt; 0, cs.Sub2Yr6, IF(cs.Sub2Yr1 + cs.Sub2Yr2 + cs.Sub2Yr3 + cs.Sub2Yr4 + cs.Sub2Yr5 + cs.Sub2Yr6 &gt; 25000, cs.Sub2Yr1 + cs.Sub2Yr2 + cs.Sub2Yr3 + cs.Sub2Yr4 + cs.Sub2Yr5 + cs.Sub2Yr6 - 25000, 0))</f>
        <v>0</v>
      </c>
      <c r="AV200" s="242">
        <f>IF((cs.ExclSub2Yr1 + cs.ExclSub2Yr2 + cs.ExclSub2Yr3 + cs.ExclSub2Yr4 + cs.ExclSub2Yr5 + cs.ExclSub2Yr6) &gt; 0, cs.Sub2Yr7, IF(cs.Sub2Yr1 + cs.Sub2Yr2 + cs.Sub2Yr3 + cs.Sub2Yr4 + cs.Sub2Yr5 +cs.Sub2Yr6 + cs.Sub2Yr7 &gt; 25000, cs.Sub2Yr1 + cs.Sub2Yr2 + cs.Sub2Yr3 + cs.Sub2Yr4 + cs.Sub2Yr5 + cs.Sub2Yr6 + cs.Sub2Yr7 - 25000, 0))</f>
        <v>0</v>
      </c>
      <c r="AW200" s="242">
        <f>IF((cs.ExclSub2Yr1 + cs.ExclSub2Yr2 + cs.ExclSub2Yr3 + cs.ExclSub2Yr4 +cs.ExclSub2Yr5 + cs.ExclSub2Yr6 + cs.ExclSub2Yr7) &gt; 0, cs.Sub2Yr8, IF(cs.Sub2Yr1 + cs.Sub2Yr2 + cs.Sub2Yr3 + cs.Sub2Yr4 + cs.Sub2Yr5 +cs.Sub2Yr6 + cs.Sub2Yr7 +cs.Sub2Yr8 &gt; 25000, cs.Sub2Yr1 + cs.Sub2Yr2 + cs.Sub2Yr3 + cs.Sub2Yr4 + cs.Sub2Yr5 + cs.Sub2Yr6 + cs.Sub2Yr7 +cs.Sub2Yr8 - 25000, 0))</f>
        <v>0</v>
      </c>
      <c r="AX200" s="242">
        <f>IF((cs.ExclSub2Yr1 + cs.ExclSub2Yr2 + cs.ExclSub2Yr3 + cs.ExclSub2Yr4 + cs.ExclSub2Yr5 + cs.ExclSub2Yr6 + cs.ExclSub2Yr7 + cs.ExclSub2Yr8) &gt; 0, cs.Sub2Yr9, IF(cs.Sub2Yr1 + cs.Sub2Yr2 + cs.Sub2Yr3 + cs.Sub2Yr4 + cs.Sub2Yr5 + cs.Sub2Yr6 + cs.Sub2Yr7 + cs.Sub2Yr8 + cs.Sub2Yr9 &gt; 25000, cs.Sub2Yr1 + cs.Sub2Yr2 + cs.Sub2Yr3 + cs.Sub2Yr4 + cs.Sub2Yr5 + cs.Sub2Yr6 + cs.Sub2Yr7 +cs.Sub2Yr8 + cs.Sub2Yr9 - 25000, 0))</f>
        <v>0</v>
      </c>
      <c r="AY200" s="242">
        <f>IF((cs.ExclSub2Yr1 + cs.ExclSub2Yr2 + cs.ExclSub2Yr3 + cs.ExclSub2Yr4 + cs.ExclSub2Yr5 + cs.ExclSub2Yr6 + cs.ExclSub2Yr7 + cs.ExclSub2Yr8 + cs.ExclSub2Yr9) &gt; 0, cs.Sub2Yr10, IF(cs.Sub2Yr1 + cs.Sub2Yr2 + cs.Sub2Yr3 + cs.Sub2Yr4 + cs.Sub2Yr5 + cs.Sub2Yr6 + cs.Sub2Yr7 + cs.Sub2Yr8 + cs.Sub2Yr9 + cs.Sub2Yr10 &gt; 25000, cs.Sub2Yr1 + cs.Sub2Yr2 + cs.Sub2Yr3 + cs.Sub2Yr4 + cs.Sub2Yr5 + cs.Sub2Yr6 + cs.Sub2Yr7 + cs.Sub2Yr8 + cs.Sub2Yr9 + cs.Sub2Yr10 - 25000, 0))</f>
        <v>0</v>
      </c>
      <c r="AZ200" s="243">
        <f t="shared" si="237"/>
        <v>0</v>
      </c>
      <c r="BB200" s="81"/>
      <c r="BC200" s="82" t="s">
        <v>298</v>
      </c>
      <c r="BD200" s="80"/>
      <c r="BE200" s="855" t="s">
        <v>299</v>
      </c>
      <c r="BF200" s="855"/>
      <c r="BG200" s="855"/>
      <c r="BH200" s="855"/>
      <c r="BI200" s="855"/>
      <c r="BJ200" s="855"/>
      <c r="BK200" s="855"/>
      <c r="BL200" s="855"/>
      <c r="BM200" s="855"/>
      <c r="BN200" s="855"/>
      <c r="BO200" s="855"/>
      <c r="BP200" s="141"/>
      <c r="BQ200" s="141"/>
      <c r="BR200" s="141"/>
      <c r="BU200" s="22"/>
      <c r="BV200" s="22"/>
      <c r="BW200" s="22"/>
      <c r="BX200" s="22"/>
      <c r="BY200" s="22"/>
      <c r="BZ200" s="22"/>
      <c r="CA200" s="22"/>
      <c r="CB200" s="22"/>
      <c r="CC200" s="22"/>
      <c r="CD200" s="149"/>
    </row>
    <row r="201" spans="2:83" ht="33" hidden="1" customHeight="1" outlineLevel="1" x14ac:dyDescent="0.3">
      <c r="B201" s="4"/>
      <c r="C201" s="311" t="s">
        <v>301</v>
      </c>
      <c r="D201" s="48" t="s">
        <v>297</v>
      </c>
      <c r="E201" s="735"/>
      <c r="F201" s="735"/>
      <c r="G201" s="735"/>
      <c r="H201" s="735"/>
      <c r="I201" s="735"/>
      <c r="J201" s="735"/>
      <c r="K201" s="735"/>
      <c r="L201" s="735"/>
      <c r="M201" s="735"/>
      <c r="N201" s="735"/>
      <c r="O201" s="735"/>
      <c r="P201" s="735"/>
      <c r="Q201" s="735"/>
      <c r="R201" s="735"/>
      <c r="S201" s="735"/>
      <c r="T201" s="735"/>
      <c r="U201" s="735"/>
      <c r="V201" s="156"/>
      <c r="W201" s="156"/>
      <c r="X201" s="156"/>
      <c r="Y201" s="156"/>
      <c r="Z201" s="156"/>
      <c r="AA201" s="156"/>
      <c r="AB201" s="156"/>
      <c r="AC201" s="156"/>
      <c r="AD201" s="271"/>
      <c r="AE201" s="271"/>
      <c r="AF201" s="271"/>
      <c r="AG201" s="271"/>
      <c r="AH201" s="271"/>
      <c r="AI201" s="271"/>
      <c r="AJ201" s="271"/>
      <c r="AK201" s="271"/>
      <c r="AL201" s="271"/>
      <c r="AM201" s="271"/>
      <c r="AN201" s="72">
        <f t="shared" si="235"/>
        <v>0</v>
      </c>
      <c r="AO201" s="512">
        <f t="shared" si="236"/>
        <v>0</v>
      </c>
      <c r="AP201" s="267"/>
      <c r="AQ201" s="266"/>
      <c r="AR201" s="266"/>
      <c r="AS201" s="266"/>
      <c r="AT201" s="266"/>
      <c r="AU201" s="266"/>
      <c r="AV201" s="266"/>
      <c r="AW201" s="266"/>
      <c r="AX201" s="266"/>
      <c r="AY201" s="266"/>
      <c r="AZ201" s="247">
        <f t="shared" si="237"/>
        <v>0</v>
      </c>
      <c r="BB201" s="611" t="s">
        <v>301</v>
      </c>
      <c r="BC201" s="4" t="s">
        <v>297</v>
      </c>
      <c r="BD201" s="22"/>
      <c r="BE201" s="22"/>
      <c r="BF201" s="22"/>
      <c r="BG201" s="22"/>
      <c r="BH201" s="22"/>
      <c r="BI201" s="22"/>
      <c r="BJ201" s="22"/>
      <c r="BK201" s="22"/>
      <c r="BU201" s="22"/>
      <c r="BV201" s="22"/>
      <c r="BW201" s="22"/>
      <c r="BX201" s="22"/>
      <c r="BY201" s="22"/>
      <c r="BZ201" s="22"/>
      <c r="CA201" s="22"/>
      <c r="CB201" s="22"/>
      <c r="CC201" s="22"/>
      <c r="CD201" s="149"/>
    </row>
    <row r="202" spans="2:83" ht="33" hidden="1" customHeight="1" outlineLevel="1" thickBot="1" x14ac:dyDescent="0.3">
      <c r="B202" s="4"/>
      <c r="C202" s="75"/>
      <c r="D202" s="76" t="s">
        <v>298</v>
      </c>
      <c r="E202" s="734" t="s">
        <v>299</v>
      </c>
      <c r="F202" s="734"/>
      <c r="G202" s="734"/>
      <c r="H202" s="734"/>
      <c r="I202" s="734"/>
      <c r="J202" s="734"/>
      <c r="K202" s="734"/>
      <c r="L202" s="734"/>
      <c r="M202" s="734"/>
      <c r="N202" s="734"/>
      <c r="O202" s="734"/>
      <c r="P202" s="734"/>
      <c r="Q202" s="734"/>
      <c r="R202" s="734"/>
      <c r="S202" s="734"/>
      <c r="T202" s="734"/>
      <c r="U202" s="734"/>
      <c r="V202" s="155"/>
      <c r="W202" s="155"/>
      <c r="X202" s="155"/>
      <c r="Y202" s="155"/>
      <c r="Z202" s="155"/>
      <c r="AA202" s="155"/>
      <c r="AB202" s="155"/>
      <c r="AC202" s="155"/>
      <c r="AD202" s="73">
        <f>IF(Sub3Yr1 &gt; 25000, Sub3Yr1 - 25000, 0)</f>
        <v>0</v>
      </c>
      <c r="AE202" s="73">
        <f>IF(ExclSub3Yr1 &gt; 0, Sub3Yr2, IF(Sub3Yr1 + Sub3Yr2 &gt; 25000, Sub3Yr1 + Sub3Yr2 - 25000, 0))</f>
        <v>0</v>
      </c>
      <c r="AF202" s="73">
        <f>IF(ExclSub3Yr1 + ExclSub3Yr2 &gt; 0, Sub3Yr3, IF(Sub3Yr1 + Sub3Yr2 + Sub3Yr3 &gt; 25000, Sub3Yr1 + Sub3Yr2 + Sub3Yr3 - 25000, 0))</f>
        <v>0</v>
      </c>
      <c r="AG202" s="73">
        <f>IF(( ExclSub3Yr1 + ExclSub3Yr2 + ExclSub3Yr3) &gt; 0, Sub3Yr4, IF(Sub3Yr1+ Sub3Yr2 + Sub3Yr3 + Sub3Yr4 &gt; 25000, Sub3Yr1 + Sub3Yr2 + Sub3Yr3 + Sub3Yr4 - 25000, 0))</f>
        <v>0</v>
      </c>
      <c r="AH202" s="73">
        <f>IF((ExclSub3Yr1 + ExclSub3Yr2 + ExclSub3Yr3 + ExclSub3Yr4) &gt; 0, Sub3Yr5, IF(Sub3Yr1 + Sub3Yr2 + Sub3Yr3+ Sub3Yr4 + Sub3Yr5 &gt; 25000, Sub3Yr1 + Sub3Yr2 + Sub3Yr3 + Sub3Yr4 + Sub3Yr5 - 25000, 0))</f>
        <v>0</v>
      </c>
      <c r="AI202" s="73">
        <f>IF((ExclSub3Yr1+ExclSub3Yr2+ExclSub3Yr3+ExclSub3Yr4+ExclSub3Yr5)&gt;0,Sub3Yr6,IF(Sub3Yr1+Sub3Yr2+Sub3Yr3+Sub3Yr4+Sub3Yr5+Sub3Yr6&gt;25000,Sub3Yr1+Sub3Yr2+Sub3Yr3+Sub3Yr4+Sub3Yr5+Sub3Yr6-25000,0))</f>
        <v>0</v>
      </c>
      <c r="AJ202" s="73" cm="1">
        <f t="array" ref="AJ202">IF((ExclSub3Yr1+ExclSub3Yr2+ExclSub3Yr3+ExclSub3Yr4+ExclSub3Yr5+ExclSub3Yr6)&gt;0,Sub3Yr7,IF(Sub3Yr1+Sub3Yr2+Sub3Yr3+Sub3Yr4+Sub3Yr5+Sub3Yr6+Sub3Yr7&gt;25000,Sub3Yr1+Sub3Yr2+Sub3Yr3+Sub3Yr4+Sub3Yr5+Sub3Yr6+Sub3Yr7-25000,0))</f>
        <v>0</v>
      </c>
      <c r="AK202" s="73" cm="1">
        <f t="array" ref="AK202">IF((ExclSub3Yr1+ExclSub3Yr2+ExclSub3Yr3+ExclSub3Yr4+ExclSub3Yr5+ExclSub3Yr6+ExclSub3Yr7)&gt;0,Sub3Yr8,IF(Sub3Yr1+Sub3Yr2+Sub3Yr3+Sub3Yr4+Sub3Yr5+Sub3Yr6+Sub3Yr7+Sub3Yr8&gt;25000,Sub3Yr1+Sub3Yr2+Sub3Yr3+Sub3Yr4+Sub3Yr5+Sub3Yr6+Sub3Yr7+Sub3Yr8-25000,0))</f>
        <v>0</v>
      </c>
      <c r="AL202" s="73" cm="1">
        <f t="array" ref="AL202">IF((ExclSub3Yr1+ExclSub3Yr2+ExclSub3Yr3+ExclSub3Yr4+ExclSub3Yr5+ExclSub3Yr6+ExclSub3Yr7+ExclSub3Yr8)&gt;0,Sub3Yr9,IF(Sub3Yr1+Sub3Yr2+Sub3Yr3+Sub3Yr4+Sub3Yr5+Sub3Yr6+Sub3Yr7+Sub3Yr8+Sub3Yr9&gt;25000,Sub3Yr1+Sub3Yr2+Sub3Yr3+Sub3Yr4+Sub3Yr5+Sub3Yr6+Sub3Yr7+Sub3Yr8+Sub3Yr9-25000,0))</f>
        <v>0</v>
      </c>
      <c r="AM202" s="73" cm="1">
        <f t="array" ref="AM202">IF((ExclSub3Yr1+ExclSub3Yr2+ExclSub3Yr3+ExclSub3Yr4+ExclSub3Yr5+ExclSub3Yr6+ExclSub3Yr7+ExclSub3Yr8+ExclSub3Yr9)&gt;0,Sub3Yr10,IF(Sub3Yr1+Sub3Yr2+Sub3Yr3+Sub3Yr4+Sub3Yr5+Sub3Yr6+Sub3Yr7+Sub3Yr8+Sub3Yr9+Sub3Yr10&gt;25000,Sub3Yr1+Sub3Yr2+Sub3Yr3+Sub3Yr4+Sub3Yr5+Sub3Yr6+Sub3Yr7+Sub3Yr8+Sub3Yr9+Sub3Yr10-25000,0))</f>
        <v>0</v>
      </c>
      <c r="AN202" s="74">
        <f t="shared" si="235"/>
        <v>0</v>
      </c>
      <c r="AO202" s="512">
        <f t="shared" si="236"/>
        <v>0</v>
      </c>
      <c r="AP202" s="525">
        <f>IF(cs.Sub3Yr1 &gt; 25000, cs.Sub3Yr1 - 25000, 0)</f>
        <v>0</v>
      </c>
      <c r="AQ202" s="242">
        <f>IF(cs.ExclSub3Yr1 &gt; 0, cs.Sub3Yr2, IF(cs.Sub3Yr1 + cs.Sub3Yr2 &gt; 25000, cs.Sub3Yr1 + cs.Sub3Yr2 - 25000,0))</f>
        <v>0</v>
      </c>
      <c r="AR202" s="242">
        <f>IF((cs.ExclSub3Yr1 + cs.ExclSub3Yr2) &gt; 0, cs.Sub3Yr3, IF(cs.Sub3Yr1 + cs.Sub3Yr2 + cs.Sub3Yr3 &gt; 25000, cs.Sub3Yr1 + cs.Sub3Yr2 + cs.Sub3Yr3 - 25000,0))</f>
        <v>0</v>
      </c>
      <c r="AS202" s="242">
        <f>IF((cs.ExclSub3Yr1 + cs.ExclSub3Yr2 + cs.ExclSub3Yr3) &gt; 0, cs.Sub3Yr4, IF(cs.Sub3Yr1 + cs.Sub3Yr2 + cs.Sub3Yr3 + cs.Sub3Yr4 &gt; 25000, cs.Sub3Yr1 + cs.Sub3Yr2 + cs.Sub3Yr3 + cs.Sub3Yr4 - 25000, 0))</f>
        <v>0</v>
      </c>
      <c r="AT202" s="242">
        <f t="shared" ref="AT202" si="240">IF((cs.ExclSub3Yr1 + cs.ExclSub3Yr2 + cs.ExclSub3Yr3 + cs.ExclSub3Yr4) &gt; 0, cs.Sub3Yr5, IF(cs.Sub3Yr1 + cs.Sub3Yr2 + cs.Sub3Yr3 + cs.Sub3Yr4 + cs.Sub3Yr5 &gt; 25000, cs.Sub3Yr1 + cs.Sub3Yr2 + cs.Sub3Yr3 + cs.Sub3Yr4 + cs.Sub3Yr5 - 25000, 0))</f>
        <v>0</v>
      </c>
      <c r="AU202" s="242">
        <f>IF((cs.ExclSub3Yr1 + cs.ExclSub3Yr2 + cs.ExclSub3Yr3 + cs.ExclSub3Yr4 + cs.ExclSub3Yr5) &gt; 0, cs.Sub3Yr6, IF(cs.Sub3Yr1 + cs.Sub3Yr2 + cs.Sub3Yr3 + cs.Sub3Yr4 + cs.Sub3Yr5 + cs.Sub3Yr6 &gt; 25000, cs.Sub3Yr1 + cs.Sub3Yr2 + cs.Sub3Yr3 + cs.Sub3Yr4 + cs.Sub3Yr5 + cs.Sub3Yr6 - 25000, 0))</f>
        <v>0</v>
      </c>
      <c r="AV202" s="242">
        <f>IF((cs.ExclSub3Yr1 + cs.ExclSub3Yr2 + cs.ExclSub3Yr3 + cs.ExclSub3Yr4 + cs.ExclSub3Yr5 + cs.ExclSub3Yr6) &gt; 0, cs.Sub3Yr7, IF(cs.Sub3Yr1 + cs.Sub3Yr2 + cs.Sub3Yr3 + cs.Sub3Yr4 + cs.Sub3Yr5 +cs.Sub3Yr6 + cs.Sub3Yr7 &gt; 25000, cs.Sub3Yr1 + cs.Sub3Yr2 + cs.Sub3Yr3 + cs.Sub3Yr4 + cs.Sub3Yr5 + cs.Sub3Yr6 + cs.Sub3Yr7 - 25000, 0))</f>
        <v>0</v>
      </c>
      <c r="AW202" s="242">
        <f>IF((cs.ExclSub3Yr1 + cs.ExclSub3Yr2 + cs.ExclSub3Yr3 + cs.ExclSub3Yr4 + cs.ExclSub3Yr5 + cs.ExclSub3Yr6 + cs.ExclSub3Yr7) &gt; 0, cs.Sub3Yr8, IF(cs.Sub3Yr1 + cs.Sub3Yr2 + cs.Sub3Yr3 + cs.Sub3Yr4 + cs.Sub3Yr5 + cs.Sub3Yr6 + cs.Sub3Yr7 + cs.Sub3Yr8 &gt; 25000, cs.Sub3Yr1 + cs.Sub3Yr2 + cs.Sub3Yr3 + cs.Sub3Yr4 + cs.Sub3Yr5 + cs.Sub3Yr6 + cs.Sub3Yr7 + cs.Sub3Yr8 - 25000, 0))</f>
        <v>0</v>
      </c>
      <c r="AX202" s="242">
        <f>IF((cs.ExclSub3Yr1 + cs.ExclSub3Yr2 + cs.ExclSub3Yr3 + cs.ExclSub3Yr4 + cs.ExclSub3Yr5 + cs.ExclSub3Yr6 + cs.ExclSub3Yr7 + cs.ExclSub3Yr8) &gt; 0, cs.Sub3Yr9, IF(cs.Sub3Yr1 + cs.Sub3Yr2 + cs.Sub3Yr3 + cs.Sub3Yr4 + cs.Sub3Yr5 + cs.Sub3Yr6 + cs.Sub3Yr7 + cs.Sub3Yr8 + cs.Sub3Yr9 &gt; 25000, cs.Sub3Yr1 + cs.Sub3Yr2 + cs.Sub3Yr3 + cs.Sub3Yr4 + cs.Sub3Yr5 + cs.Sub3Yr6 + cs.Sub3Yr7 +cs.Sub3Yr8 + cs.Sub3Yr9 - 25000, 0))</f>
        <v>0</v>
      </c>
      <c r="AY202" s="242">
        <f>IF((cs.ExclSub3Yr1 + cs.ExclSub3Yr2 + cs.ExclSub3Yr3 + cs.ExclSub3Yr4 + cs.ExclSub3Yr5 + cs.ExclSub3Yr6 + cs.ExclSub3Yr7 + cs.ExclSub3Yr8 + cs.ExclSub3Yr9) &gt; 0, cs.Sub3Yr10, IF(cs.Sub3Yr1 + cs.Sub3Yr2 + cs.Sub3Yr3 + cs.Sub3Yr4 + cs.Sub3Yr5 + cs.Sub3Yr6 + cs.Sub3Yr7 + cs.Sub3Yr8 + cs.Sub3Yr9 + cs.Sub3Yr10 &gt; 25000, cs.Sub3Yr1 + cs.Sub3Yr2 + cs.Sub3Yr3 + cs.Sub3Yr4 + cs.Sub3Yr5 + cs.Sub3Yr6 + cs.Sub3Yr7 + cs.Sub3Yr8 + cs.Sub3Yr9 + cs.Sub3Yr10 - 25000, 0))</f>
        <v>0</v>
      </c>
      <c r="AZ202" s="243">
        <f t="shared" si="237"/>
        <v>0</v>
      </c>
      <c r="BB202" s="78"/>
      <c r="BC202" s="79" t="s">
        <v>298</v>
      </c>
      <c r="BD202" s="80"/>
      <c r="BE202" s="855" t="s">
        <v>299</v>
      </c>
      <c r="BF202" s="855"/>
      <c r="BG202" s="855"/>
      <c r="BH202" s="855"/>
      <c r="BI202" s="855"/>
      <c r="BJ202" s="855"/>
      <c r="BK202" s="855"/>
      <c r="BL202" s="855"/>
      <c r="BM202" s="855"/>
      <c r="BN202" s="855"/>
      <c r="BO202" s="855"/>
      <c r="BP202" s="141"/>
      <c r="BQ202" s="141"/>
      <c r="BR202" s="141"/>
      <c r="BU202" s="22"/>
      <c r="BV202" s="22"/>
      <c r="BW202" s="22"/>
      <c r="BX202" s="22"/>
      <c r="BY202" s="22"/>
      <c r="BZ202" s="22"/>
      <c r="CA202" s="22"/>
      <c r="CB202" s="22"/>
      <c r="CC202" s="22"/>
      <c r="CD202" s="149"/>
    </row>
    <row r="203" spans="2:83" ht="33" hidden="1" customHeight="1" outlineLevel="1" x14ac:dyDescent="0.3">
      <c r="B203" s="5"/>
      <c r="C203" s="312" t="s">
        <v>302</v>
      </c>
      <c r="D203" s="48" t="s">
        <v>297</v>
      </c>
      <c r="E203" s="733"/>
      <c r="F203" s="733"/>
      <c r="G203" s="733"/>
      <c r="H203" s="733"/>
      <c r="I203" s="733"/>
      <c r="J203" s="733"/>
      <c r="K203" s="733"/>
      <c r="L203" s="733"/>
      <c r="M203" s="733"/>
      <c r="N203" s="733"/>
      <c r="O203" s="733"/>
      <c r="P203" s="733"/>
      <c r="Q203" s="733"/>
      <c r="R203" s="733"/>
      <c r="S203" s="733"/>
      <c r="T203" s="733"/>
      <c r="U203" s="733"/>
      <c r="V203" s="154"/>
      <c r="W203" s="154"/>
      <c r="X203" s="154"/>
      <c r="Y203" s="154"/>
      <c r="Z203" s="154"/>
      <c r="AA203" s="154"/>
      <c r="AB203" s="154"/>
      <c r="AC203" s="154"/>
      <c r="AD203" s="563"/>
      <c r="AE203" s="563"/>
      <c r="AF203" s="563"/>
      <c r="AG203" s="563"/>
      <c r="AH203" s="563"/>
      <c r="AI203" s="563"/>
      <c r="AJ203" s="563"/>
      <c r="AK203" s="563"/>
      <c r="AL203" s="563"/>
      <c r="AM203" s="563"/>
      <c r="AN203" s="72">
        <f t="shared" si="235"/>
        <v>0</v>
      </c>
      <c r="AO203" s="512">
        <f t="shared" si="236"/>
        <v>0</v>
      </c>
      <c r="AP203" s="267"/>
      <c r="AQ203" s="266"/>
      <c r="AR203" s="266"/>
      <c r="AS203" s="266"/>
      <c r="AT203" s="266"/>
      <c r="AU203" s="266"/>
      <c r="AV203" s="266"/>
      <c r="AW203" s="266"/>
      <c r="AX203" s="266"/>
      <c r="AY203" s="266"/>
      <c r="AZ203" s="247">
        <f t="shared" si="237"/>
        <v>0</v>
      </c>
      <c r="BB203" s="612" t="s">
        <v>302</v>
      </c>
      <c r="BC203" s="66" t="s">
        <v>297</v>
      </c>
      <c r="BD203" s="22"/>
      <c r="BE203" s="22"/>
      <c r="BF203" s="22"/>
      <c r="BG203" s="22"/>
      <c r="BH203" s="22"/>
      <c r="BI203" s="22"/>
      <c r="BJ203" s="22"/>
      <c r="BK203" s="22"/>
      <c r="BU203" s="22"/>
      <c r="BV203" s="22"/>
      <c r="BW203" s="22"/>
      <c r="BX203" s="22"/>
      <c r="BY203" s="22"/>
      <c r="BZ203" s="22"/>
      <c r="CA203" s="22"/>
      <c r="CB203" s="22"/>
      <c r="CC203" s="22"/>
      <c r="CD203" s="149"/>
    </row>
    <row r="204" spans="2:83" ht="33" hidden="1" customHeight="1" outlineLevel="1" thickBot="1" x14ac:dyDescent="0.3">
      <c r="B204" s="5"/>
      <c r="C204" s="77"/>
      <c r="D204" s="76" t="s">
        <v>298</v>
      </c>
      <c r="E204" s="734" t="s">
        <v>299</v>
      </c>
      <c r="F204" s="734"/>
      <c r="G204" s="734"/>
      <c r="H204" s="734"/>
      <c r="I204" s="734"/>
      <c r="J204" s="734"/>
      <c r="K204" s="734"/>
      <c r="L204" s="734"/>
      <c r="M204" s="734"/>
      <c r="N204" s="734"/>
      <c r="O204" s="734"/>
      <c r="P204" s="734"/>
      <c r="Q204" s="734"/>
      <c r="R204" s="734"/>
      <c r="S204" s="734"/>
      <c r="T204" s="734"/>
      <c r="U204" s="734"/>
      <c r="V204" s="155"/>
      <c r="W204" s="155"/>
      <c r="X204" s="155"/>
      <c r="Y204" s="155"/>
      <c r="Z204" s="155"/>
      <c r="AA204" s="155"/>
      <c r="AB204" s="155"/>
      <c r="AC204" s="155"/>
      <c r="AD204" s="73">
        <f>IF(Sub4Yr1 &gt; 25000, Sub4Yr1 - 25000, 0)</f>
        <v>0</v>
      </c>
      <c r="AE204" s="73">
        <f>IF(ExclSub4Yr1&gt;0,Sub4Yr2,IF(Sub4Yr1+Sub4Yr2&gt;25000,Sub4Yr1+Sub4Yr2-25000,0))</f>
        <v>0</v>
      </c>
      <c r="AF204" s="73">
        <f>IF(ExclSub4Yr1 + ExclSub4Yr2 &gt; 0, Sub4Yr3, IF(Sub4Yr1 + Sub4Yr2 + Sub4Yr3 &gt; 25000, Sub4Yr1 + Sub4Yr2 + Sub4Yr3 - 25000, 0))</f>
        <v>0</v>
      </c>
      <c r="AG204" s="73">
        <f>IF((ExclSub4Yr1 + ExclSub4Yr2 + ExclSub4Yr3) &gt; 0, Sub4Yr4, IF(Sub4Yr1 +Sub4Yr2 +Sub4Yr3 + Sub4Yr4 &gt; 25000, Sub4Yr1 + Sub4Yr2 + Sub4Yr3 + Sub4Yr4 - 25000, 0))</f>
        <v>0</v>
      </c>
      <c r="AH204" s="73">
        <f>IF((ExclSub4Yr1 + ExclSub4Yr2 + ExclSub4Yr3 + ExclSub4Yr4) &gt; 0, Sub4Yr5, IF(Sub4Yr1 + Sub4Yr2 + Sub4Yr3+ Sub4Yr4 + Sub4Yr5 &gt; 25000, Sub4Yr1 + Sub4Yr2 + Sub4Yr3 + Sub4Yr4 + Sub4Yr5 - 25000, 0))</f>
        <v>0</v>
      </c>
      <c r="AI204" s="73">
        <f>IF((ExclSub4Yr1+ExclSub4Yr2+ExclSub4Yr3+ExclSub4Yr4+ExclSub4Yr5)&gt;0,Sub4Yr6,IF(Sub4Yr1+Sub4Yr2+Sub4Yr3+Sub4Yr4+Sub4Yr5+Sub4Yr6&gt;25000,Sub4Yr1+Sub4Yr2+Sub4Yr3+Sub4Yr4+Sub4Yr5+Sub4Yr6-25000,0))</f>
        <v>0</v>
      </c>
      <c r="AJ204" s="73" cm="1">
        <f t="array" ref="AJ204">IF((ExclSub4Yr1+ExclSub4Yr2+ExclSub4Yr3+ExclSub4Yr4+ExclSub4Yr5+ExclSub4Yr6)&gt;0,Sub4Yr7,IF(Sub4Yr1+Sub4Yr2+Sub4Yr3+Sub4Yr4+Sub4Yr5+Sub4Yr6+Sub4Yr7&gt;25000,Sub4Yr1+Sub4Yr2+Sub4Yr3+Sub4Yr4+Sub4Yr5+Sub4Yr6+Sub4Yr7-25000,0))</f>
        <v>0</v>
      </c>
      <c r="AK204" s="73" cm="1">
        <f t="array" ref="AK204">IF((ExclSub4Yr1+ExclSub4Yr2+ExclSub4Yr3+ExclSub4Yr4+ExclSub4Yr5+ExclSub4Yr6+ExclSub4Yr7)&gt;0,Sub4Yr8,IF(Sub4Yr1+Sub4Yr2+Sub4Yr3+Sub4Yr4+Sub4Yr5+Sub4Yr6+Sub4Yr7+Sub4Yr8&gt;25000,Sub4Yr1+Sub4Yr2+Sub4Yr3+Sub4Yr4+Sub4Yr5+Sub4Yr6+Sub4Yr7+Sub4Yr8-25000,0))</f>
        <v>0</v>
      </c>
      <c r="AL204" s="73" cm="1">
        <f t="array" ref="AL204">IF((ExclSub4Yr1+ExclSub4Yr2+ExclSub4Yr3+ExclSub4Yr4+ExclSub4Yr5+ExclSub4Yr6+ExclSub4Yr7+ExclSub4Yr8)&gt;0,Sub4Yr9,IF(Sub4Yr1+Sub4Yr2+Sub4Yr3+Sub4Yr4+Sub4Yr5+Sub4Yr6+Sub4Yr7+Sub4Yr8+Sub4Yr9&gt;25000,Sub4Yr1+Sub4Yr2+Sub4Yr3+Sub4Yr4+Sub4Yr5+Sub4Yr6+Sub4Yr7+Sub4Yr8+Sub4Yr9-25000,0))</f>
        <v>0</v>
      </c>
      <c r="AM204" s="73" cm="1">
        <f t="array" ref="AM204">IF((ExclSub4Yr1+ExclSub4Yr2+ExclSub4Yr3+ExclSub4Yr4+ExclSub4Yr5+ExclSub4Yr6+ExclSub4Yr7+ExclSub4Yr8+ExclSub4Yr9)&gt;0,Sub4Yr10,IF(Sub4Yr1+Sub4Yr2+Sub4Yr3+Sub4Yr4+Sub4Yr5+Sub4Yr6+Sub4Yr7+Sub4Yr8+Sub4Yr9+Sub4Yr10&gt;25000,Sub4Yr1+Sub4Yr2+Sub4Yr3+Sub4Yr4+Sub4Yr5+Sub4Yr6+Sub4Yr7+Sub4Yr8+Sub4Yr9+Sub4Yr10-25000,0))</f>
        <v>0</v>
      </c>
      <c r="AN204" s="74">
        <f t="shared" si="235"/>
        <v>0</v>
      </c>
      <c r="AO204" s="512">
        <f t="shared" si="236"/>
        <v>0</v>
      </c>
      <c r="AP204" s="524">
        <f>IF(cs.Sub4Yr1 &gt; 25000, cs.Sub4Yr1 - 25000, 0)</f>
        <v>0</v>
      </c>
      <c r="AQ204" s="242">
        <f>IF(cs.ExclSub4Yr1 &gt; 0,cs.Sub4Yr2, IF(cs.Sub4Yr1 + cs.Sub4Yr2 &gt; 25000, cs.Sub4Yr1 + cs.Sub4Yr2 - 25000,0))</f>
        <v>0</v>
      </c>
      <c r="AR204" s="242">
        <f>IF((cs.ExclSub4Yr1 + cs.ExclSub4Yr2) &gt; 0, cs.Sub4Yr3,IF(cs.Sub4Yr1 + cs.Sub4Yr2 + cs.Sub4Yr3 &gt; 25000, cs.Sub4Yr1 + cs.Sub4Yr2 + cs.Sub4Yr3 - 25000,0))</f>
        <v>0</v>
      </c>
      <c r="AS204" s="242">
        <f>IF((cs.ExclSub4Yr1 + cs.ExclSub4Yr2 + cs.ExclSub4Yr3) &gt; 0, cs.Sub4Yr4, IF(cs.Sub4Yr1 + cs.Sub4Yr2 + cs.Sub4Yr3 + cs.Sub4Yr4 &gt; 25000, cs.Sub4Yr1 + cs.Sub4Yr2 + cs.Sub4Yr3 + cs.Sub4Yr4 - 25000, 0))</f>
        <v>0</v>
      </c>
      <c r="AT204" s="242">
        <f t="shared" ref="AT204" si="241">IF((cs.ExclSub4Yr1 + cs.ExclSub4Yr2 + cs.ExclSub4Yr3 + cs.ExclSub4Yr4) &gt; 0, cs.Sub4Yr5, IF(cs.Sub4Yr1 + cs.Sub4Yr2 + cs.Sub4Yr3 + cs.Sub4Yr4 + cs.Sub4Yr5 &gt; 25000, cs.Sub4Yr1 + cs.Sub4Yr2 + cs.Sub4Yr3 + cs.Sub4Yr4 + cs.Sub4Yr5 - 25000, 0))</f>
        <v>0</v>
      </c>
      <c r="AU204" s="242">
        <f>IF((cs.ExclSub4Yr1 + cs.ExclSub4Yr2 + cs.ExclSub4Yr3 + cs.ExclSub4Yr4 + cs.ExclSub4Yr5) &gt; 0, cs.Sub4Yr6, IF(cs.Sub4Yr1 + cs.Sub4Yr2 + cs.Sub4Yr3 + cs.Sub4Yr4 + cs.Sub4Yr5 + cs.Sub4Yr6 &gt; 25000, cs.Sub4Yr1 + cs.Sub4Yr2 + cs.Sub4Yr3 + cs.Sub4Yr4 + cs.Sub4Yr5 + cs.Sub4Yr6 - 25000, 0))</f>
        <v>0</v>
      </c>
      <c r="AV204" s="242">
        <f>IF((cs.ExclSub4Yr1 + cs.ExclSub4Yr2 + cs.ExclSub4Yr3 + cs.ExclSub4Yr4 + cs.ExclSub4Yr5 + cs.ExclSub4Yr6) &gt; 0, cs.Sub4Yr7, IF(cs.Sub4Yr1 + cs.Sub4Yr2 + cs.Sub4Yr3 + cs.Sub4Yr4 + cs.Sub4Yr5 +cs.Sub4Yr6 + cs.Sub4Yr7 &gt; 25000, cs.Sub4Yr1 + cs.Sub4Yr2 + cs.Sub4Yr3 + cs.Sub4Yr4 + cs.Sub4Yr5 + cs.Sub4Yr6 + cs.Sub4Yr7 - 25000, 0))</f>
        <v>0</v>
      </c>
      <c r="AW204" s="242">
        <f>IF((cs.ExclSub4Yr1 + cs.ExclSub4Yr2 + cs.ExclSub4Yr3 + cs.ExclSub4Yr4 + cs.ExclSub4Yr5 + cs.ExclSub4Yr6 + cs.ExclSub4Yr7) &gt; 0, cs.Sub4Yr8, IF(cs.Sub4Yr1 + cs.Sub4Yr2 + cs.Sub4Yr3 + cs.Sub4Yr4 + cs.Sub4Yr5 + cs.Sub4Yr6 + cs.Sub4Yr7 + cs.Sub4Yr8 &gt; 25000, cs.Sub4Yr1 + cs.Sub4Yr2 + cs.Sub4Yr3 + cs.Sub4Yr4 + cs.Sub4Yr5 + cs.Sub4Yr6 + cs.Sub4Yr7 + cs.Sub4Yr8 - 25000, 0))</f>
        <v>0</v>
      </c>
      <c r="AX204" s="242">
        <f>IF((cs.ExclSub4Yr1 + cs.ExclSub4Yr2 + cs.ExclSub4Yr3 + cs.ExclSub4Yr4 + cs.ExclSub4Yr5 + cs.ExclSub4Yr6 + cs.ExclSub4Yr7 + cs.ExclSub4Yr8) &gt; 0, cs.Sub4Yr9, IF(cs.Sub4Yr1 + cs.Sub4Yr2 + cs.Sub4Yr3 + cs.Sub4Yr4 + cs.Sub4Yr5 + cs.Sub4Yr6 + cs.Sub4Yr7 + cs.Sub4Yr8 + cs.Sub4Yr9 &gt; 25000, cs.Sub4Yr1 + cs.Sub4Yr2 + cs.Sub4Yr3 + cs.Sub4Yr4 + cs.Sub4Yr5 + cs.Sub4Yr6 + cs.Sub4Yr7 +cs.Sub4Yr8 + cs.Sub4Yr9 - 25000, 0))</f>
        <v>0</v>
      </c>
      <c r="AY204" s="242">
        <f>IF((cs.ExclSub4Yr1 + cs.ExclSub4Yr2 + cs.ExclSub4Yr3 + cs.ExclSub4Yr4 + cs.ExclSub4Yr5 + cs.ExclSub4Yr6 + cs.ExclSub4Yr7 + cs.ExclSub4Yr8 + cs.ExclSub4Yr9) &gt; 0, cs.Sub4Yr10, IF(cs.Sub4Yr1 + cs.Sub4Yr2 + cs.Sub4Yr3 + cs.Sub4Yr4 + cs.Sub4Yr5 + cs.Sub4Yr6 + cs.Sub4Yr7 + cs.Sub4Yr8 + cs.Sub4Yr9 + cs.Sub4Yr10 &gt; 25000, cs.Sub4Yr1 + cs.Sub4Yr2 + cs.Sub4Yr3 + cs.Sub4Yr4 + cs.Sub4Yr5 + cs.Sub4Yr6 + cs.Sub4Yr7 + cs.Sub4Yr8 + cs.Sub4Yr9 + cs.Sub4Yr10 - 25000, 0))</f>
        <v>0</v>
      </c>
      <c r="AZ204" s="243">
        <f t="shared" si="237"/>
        <v>0</v>
      </c>
      <c r="BB204" s="81"/>
      <c r="BC204" s="82" t="s">
        <v>298</v>
      </c>
      <c r="BD204" s="80"/>
      <c r="BE204" s="855" t="s">
        <v>299</v>
      </c>
      <c r="BF204" s="855"/>
      <c r="BG204" s="855"/>
      <c r="BH204" s="855"/>
      <c r="BI204" s="855"/>
      <c r="BJ204" s="855"/>
      <c r="BK204" s="855"/>
      <c r="BL204" s="855"/>
      <c r="BM204" s="855"/>
      <c r="BN204" s="855"/>
      <c r="BO204" s="855"/>
      <c r="BP204" s="141"/>
      <c r="BQ204" s="141"/>
      <c r="BR204" s="141"/>
      <c r="BU204" s="22"/>
      <c r="BV204" s="22"/>
      <c r="BW204" s="22"/>
      <c r="BX204" s="22"/>
      <c r="BY204" s="22"/>
      <c r="BZ204" s="22"/>
      <c r="CA204" s="22"/>
      <c r="CB204" s="22"/>
      <c r="CC204" s="22"/>
      <c r="CD204" s="149"/>
    </row>
    <row r="205" spans="2:83" ht="33" hidden="1" customHeight="1" outlineLevel="1" x14ac:dyDescent="0.3">
      <c r="B205" s="4"/>
      <c r="C205" s="311" t="s">
        <v>303</v>
      </c>
      <c r="D205" s="48" t="s">
        <v>297</v>
      </c>
      <c r="E205" s="735"/>
      <c r="F205" s="735"/>
      <c r="G205" s="735"/>
      <c r="H205" s="735"/>
      <c r="I205" s="735"/>
      <c r="J205" s="735"/>
      <c r="K205" s="735"/>
      <c r="L205" s="735"/>
      <c r="M205" s="735"/>
      <c r="N205" s="735"/>
      <c r="O205" s="735"/>
      <c r="P205" s="735"/>
      <c r="Q205" s="735"/>
      <c r="R205" s="735"/>
      <c r="S205" s="735"/>
      <c r="T205" s="735"/>
      <c r="U205" s="735"/>
      <c r="V205" s="156"/>
      <c r="W205" s="156"/>
      <c r="X205" s="156"/>
      <c r="Y205" s="156"/>
      <c r="Z205" s="156"/>
      <c r="AA205" s="156"/>
      <c r="AB205" s="156"/>
      <c r="AC205" s="156"/>
      <c r="AD205" s="563"/>
      <c r="AE205" s="563"/>
      <c r="AF205" s="563"/>
      <c r="AG205" s="563"/>
      <c r="AH205" s="563"/>
      <c r="AI205" s="563"/>
      <c r="AJ205" s="563"/>
      <c r="AK205" s="563"/>
      <c r="AL205" s="563"/>
      <c r="AM205" s="563"/>
      <c r="AN205" s="72">
        <f t="shared" si="235"/>
        <v>0</v>
      </c>
      <c r="AO205" s="512">
        <f t="shared" si="236"/>
        <v>0</v>
      </c>
      <c r="AP205" s="267"/>
      <c r="AQ205" s="266"/>
      <c r="AR205" s="266"/>
      <c r="AS205" s="266"/>
      <c r="AT205" s="266"/>
      <c r="AU205" s="266"/>
      <c r="AV205" s="266"/>
      <c r="AW205" s="266"/>
      <c r="AX205" s="266"/>
      <c r="AY205" s="266"/>
      <c r="AZ205" s="247">
        <f t="shared" si="237"/>
        <v>0</v>
      </c>
      <c r="BB205" s="611" t="s">
        <v>303</v>
      </c>
      <c r="BC205" s="4" t="s">
        <v>297</v>
      </c>
      <c r="BD205" s="22"/>
      <c r="BE205" s="22"/>
      <c r="BF205" s="22"/>
      <c r="BG205" s="22"/>
      <c r="BH205" s="22"/>
      <c r="BI205" s="22"/>
      <c r="BJ205" s="22"/>
      <c r="BK205" s="22"/>
      <c r="BU205" s="22"/>
      <c r="BV205" s="22"/>
      <c r="BW205" s="22"/>
      <c r="BX205" s="22"/>
      <c r="BY205" s="22"/>
      <c r="BZ205" s="22"/>
      <c r="CA205" s="22"/>
      <c r="CB205" s="22"/>
      <c r="CC205" s="22"/>
      <c r="CD205" s="149"/>
    </row>
    <row r="206" spans="2:83" ht="33" hidden="1" customHeight="1" outlineLevel="1" thickBot="1" x14ac:dyDescent="0.3">
      <c r="B206" s="4"/>
      <c r="C206" s="75"/>
      <c r="D206" s="76" t="s">
        <v>298</v>
      </c>
      <c r="E206" s="734" t="s">
        <v>299</v>
      </c>
      <c r="F206" s="734"/>
      <c r="G206" s="734"/>
      <c r="H206" s="734"/>
      <c r="I206" s="734"/>
      <c r="J206" s="734"/>
      <c r="K206" s="734"/>
      <c r="L206" s="734"/>
      <c r="M206" s="734"/>
      <c r="N206" s="734"/>
      <c r="O206" s="734"/>
      <c r="P206" s="734"/>
      <c r="Q206" s="734"/>
      <c r="R206" s="734"/>
      <c r="S206" s="734"/>
      <c r="T206" s="734"/>
      <c r="U206" s="734"/>
      <c r="V206" s="155"/>
      <c r="W206" s="155"/>
      <c r="X206" s="155"/>
      <c r="Y206" s="155"/>
      <c r="Z206" s="155"/>
      <c r="AA206" s="155"/>
      <c r="AB206" s="155"/>
      <c r="AC206" s="155"/>
      <c r="AD206" s="73">
        <f>IF(Sub5Yr1 &gt; 25000, Sub5Yr1 - 25000, 0)</f>
        <v>0</v>
      </c>
      <c r="AE206" s="73">
        <f>IF(ExclSub5Yr1&gt;0,Sub5Yr2,IF(Sub5Yr1+Sub5Yr2&gt;25000,Sub5Yr1+Sub5Yr2-25000,0))</f>
        <v>0</v>
      </c>
      <c r="AF206" s="73">
        <f>IF(ExclSub5Yr1 + ExclSub5Yr2 &gt; 0, Sub5Yr3, IF(Sub5Yr1 + Sub5Yr2 + Sub5Yr3 &gt; 25000, Sub5Yr1 + Sub5Yr2 + Sub5Yr3 - 25000, 0))</f>
        <v>0</v>
      </c>
      <c r="AG206" s="73">
        <f>IF((ExclSub5Yr1 + ExclSub5Yr2 + ExclSub5Yr3) &gt; 0, Sub5Yr4, IF(Sub5Yr1 + Sub5Yr2 + Sub5Yr3 + Sub5Yr4 &gt; 25000, Sub5Yr1 + Sub5Yr2 + Sub5Yr3 + Sub5Yr4 - 25000, 0))</f>
        <v>0</v>
      </c>
      <c r="AH206" s="73">
        <f>IF((ExclSub5Yr1 + ExclSub5Yr2 + ExclSub5Yr3 + ExclSub5Yr4) &gt; 0, Sub5Yr5, IF(Sub5Yr1 + Sub5Yr2 + Sub5Yr3+ Sub5Yr4 + Sub5Yr5 &gt; 25000, Sub5Yr1 + Sub5Yr2 + Sub5Yr3 + Sub5Yr4 + Sub5Yr5 - 25000, 0))</f>
        <v>0</v>
      </c>
      <c r="AI206" s="73">
        <f>IF((ExclSub5Yr1+ExclSub5Yr2+ExclSub5Yr3+ExclSub5Yr4+ExclSub5Yr5)&gt;0,Sub5Yr6,IF(Sub5Yr1+Sub5Yr2+Sub5Yr3+Sub5Yr4+Sub5Yr5+Sub5Yr6&gt;25000,Sub5Yr1+Sub5Yr2+Sub5Yr3+Sub5Yr4+Sub5Yr5+Sub5Yr6-25000,0))</f>
        <v>0</v>
      </c>
      <c r="AJ206" s="73" cm="1">
        <f t="array" ref="AJ206">IF((ExclSub5Yr1+ExclSub5Yr2+ExclSub5Yr3+ExclSub5Yr4+ExclSub5Yr5+ExclSub5Yr6)&gt;0,Sub5Yr7,IF(Sub5Yr1+Sub5Yr2+Sub5Yr3+Sub5Yr4+Sub5Yr5+Sub5Yr6+Sub5Yr7&gt;25000,Sub5Yr1+Sub5Yr2+Sub5Yr3+Sub5Yr4+Sub5Yr5+Sub5Yr6+Sub5Yr7-25000,0))</f>
        <v>0</v>
      </c>
      <c r="AK206" s="73" cm="1">
        <f t="array" ref="AK206">IF((ExclSub5Yr1+ExclSub5Yr2+ExclSub5Yr3+ExclSub5Yr4+ExclSub5Yr5+ExclSub5Yr6+ExclSub5Yr7)&gt;0,Sub5Yr8,IF(Sub5Yr1+Sub5Yr2+Sub5Yr3+Sub5Yr4+Sub5Yr5+Sub5Yr6+Sub5Yr7+Sub5Yr8&gt;25000,Sub5Yr1+Sub5Yr2+Sub5Yr3+Sub5Yr4+Sub5Yr5+Sub5Yr6+Sub5Yr7+Sub5Yr8-25000,0))</f>
        <v>0</v>
      </c>
      <c r="AL206" s="73" cm="1">
        <f t="array" ref="AL206">IF((ExclSub5Yr1+ExclSub5Yr2+ExclSub5Yr3+ExclSub5Yr4+ExclSub5Yr5+ExclSub5Yr6+ExclSub5Yr7+ExclSub5Yr8)&gt;0,Sub5Yr9,IF(Sub5Yr1+Sub5Yr2+Sub5Yr3+Sub5Yr4+Sub5Yr5+Sub5Yr6+Sub5Yr7+Sub5Yr8+Sub5Yr9&gt;25000,Sub5Yr1+Sub5Yr2+Sub5Yr3+Sub5Yr4+Sub5Yr5+Sub5Yr6+Sub5Yr7+Sub5Yr8+Sub5Yr9-25000,0))</f>
        <v>0</v>
      </c>
      <c r="AM206" s="73" cm="1">
        <f t="array" ref="AM206">IF((ExclSub5Yr1+ExclSub5Yr2+ExclSub5Yr3+ExclSub5Yr4+ExclSub5Yr5+ExclSub5Yr6+ExclSub5Yr7+ExclSub5Yr8+ExclSub5Yr9)&gt;0,Sub5Yr10,IF(Sub5Yr1+Sub5Yr2+Sub5Yr3+Sub5Yr4+Sub5Yr5+Sub5Yr6+Sub5Yr7+Sub5Yr8+Sub5Yr9+Sub5Yr10&gt;25000,Sub5Yr1+Sub5Yr2+Sub5Yr3+Sub5Yr4+Sub5Yr5+Sub5Yr6+Sub5Yr7+Sub5Yr8+Sub5Yr9+Sub5Yr10-25000,0))</f>
        <v>0</v>
      </c>
      <c r="AN206" s="74">
        <f t="shared" si="235"/>
        <v>0</v>
      </c>
      <c r="AO206" s="512">
        <f t="shared" si="236"/>
        <v>0</v>
      </c>
      <c r="AP206" s="525">
        <f>IF(cs.Sub5Yr1 &gt; 25000, cs.Sub5Yr1 - 25000, 0)</f>
        <v>0</v>
      </c>
      <c r="AQ206" s="242">
        <f>IF(cs.ExclSub5Yr1 &gt; 0, cs.Sub5Yr2, IF(cs.Sub5Yr1 + cs.Sub5Yr2 &gt; 25000, cs.Sub5Yr1 + cs.Sub5Yr2 - 25000, 0))</f>
        <v>0</v>
      </c>
      <c r="AR206" s="242">
        <f>IF((cs.ExclSub5Yr1 + cs.ExclSub5Yr2) &gt; 0, cs.Sub5Yr3, IF(cs.Sub5Yr1 + cs.Sub5Yr2 + cs.Sub5Yr3 &gt; 25000, cs.Sub5Yr1 + cs.Sub5Yr2 + cs.Sub5Yr3 - 25000,0))</f>
        <v>0</v>
      </c>
      <c r="AS206" s="242">
        <f>IF((cs.ExclSub5Yr1 + cs.ExclSub5Yr2 + cs.ExclSub5Yr3) &gt; 0, cs.Sub5Yr4, IF(cs.Sub5Yr1 + cs.Sub5Yr2 + cs.Sub5Yr3 + cs.Sub5Yr4 &gt; 25000, cs.Sub5Yr1 + cs.Sub5Yr2 + cs.Sub5Yr3 + cs.Sub5Yr4 - 25000, 0))</f>
        <v>0</v>
      </c>
      <c r="AT206" s="242">
        <f>IF((cs.ExclSub5Yr1 + cs.ExclSub5Yr2 + cs.ExclSub5Yr3 + cs.ExclSub5Yr4) &gt; 0, cs.Sub5Yr5, IF(cs.Sub5Yr1 + cs.Sub5Yr2 + cs.Sub5Yr3 + cs.Sub5Yr4 + cs.Sub5Yr5 &gt; 25000, cs.Sub5Yr1 + cs.Sub5Yr2 + cs.Sub5Yr3 + cs.Sub5Yr4 + cs.Sub5Yr5 - 25000, 0))</f>
        <v>0</v>
      </c>
      <c r="AU206" s="242">
        <f>IF((cs.ExclSub5Yr1 + cs.ExclSub5Yr2 + cs.ExclSub5Yr3 + cs.ExclSub5Yr4 + cs.ExclSub5Yr5) &gt; 0, cs.Sub5Yr6, IF(cs.Sub5Yr1 + cs.Sub5Yr2 + cs.Sub5Yr3 + cs.Sub5Yr4 + cs.Sub5Yr5 + cs.Sub5Yr6 &gt; 25000, cs.Sub5Yr1 + cs.Sub5Yr2 + cs.Sub5Yr3 + cs.Sub5Yr4 + cs.Sub5Yr5 + cs.Sub5Yr6 - 25000, 0))</f>
        <v>0</v>
      </c>
      <c r="AV206" s="242">
        <f>IF((cs.ExclSub5Yr1 + cs.ExclSub5Yr2 + cs.ExclSub5Yr3 + cs.ExclSub5Yr4 + cs.ExclSub5Yr5 + cs.ExclSub5Yr6) &gt; 0, cs.Sub5Yr7, IF(cs.Sub5Yr1 + cs.Sub5Yr2 + cs.Sub5Yr3 + cs.Sub5Yr4 + cs.Sub5Yr5 +cs.Sub5Yr6 + cs.Sub5Yr7 &gt; 25000, cs.Sub5Yr1 + cs.Sub5Yr2 + cs.Sub5Yr3 + cs.Sub5Yr4 + cs.Sub5Yr5 + cs.Sub5Yr6 + cs.Sub5Yr7 - 25000, 0))</f>
        <v>0</v>
      </c>
      <c r="AW206" s="242">
        <f>IF((cs.ExclSub5Yr1 + cs.ExclSub5Yr2 + cs.ExclSub5Yr3 + cs.ExclSub5Yr4 + cs.ExclSub5Yr5 + cs.ExclSub5Yr6 + cs.ExclSub5Yr7) &gt; 0, cs.Sub5Yr8, IF(cs.Sub5Yr1 + cs.Sub5Yr2 + cs.Sub5Yr3 + cs.Sub5Yr4 + cs.Sub5Yr5 + cs.Sub5Yr6 + cs.Sub5Yr7 + cs.Sub5Yr8 &gt; 25000, cs.Sub5Yr1 + cs.Sub5Yr2 + cs.Sub5Yr3 + cs.Sub5Yr4 + cs.Sub5Yr5 + cs.Sub5Yr6 + cs.Sub5Yr7 + cs.Sub5Yr8 - 25000, 0))</f>
        <v>0</v>
      </c>
      <c r="AX206" s="242">
        <f>IF((cs.ExclSub5Yr1 + cs.ExclSub5Yr2 + cs.ExclSub5Yr3 + cs.ExclSub5Yr4 + cs.ExclSub5Yr5 + cs.ExclSub5Yr6 + cs.ExclSub5Yr7 + cs.ExclSub5Yr8) &gt; 0, cs.Sub5Yr9, IF(cs.Sub5Yr1 + cs.Sub5Yr2 + cs.Sub5Yr3 + cs.Sub5Yr4 + cs.Sub5Yr5 + cs.Sub5Yr6 + cs.Sub5Yr7 + cs.Sub5Yr8 + cs.Sub5Yr9 &gt; 25000, cs.Sub5Yr1 + cs.Sub5Yr2 + cs.Sub5Yr3 + cs.Sub5Yr4 + cs.Sub5Yr5 + cs.Sub5Yr6 + cs.Sub5Yr7 +cs.Sub5Yr8 + cs.Sub5Yr9 - 25000, 0))</f>
        <v>0</v>
      </c>
      <c r="AY206" s="242">
        <f>IF((cs.ExclSub5Yr1 + cs.ExclSub5Yr2 + cs.ExclSub5Yr3 + cs.ExclSub5Yr4 + cs.ExclSub5Yr5 + cs.ExclSub5Yr6 + cs.ExclSub5Yr7 + cs.ExclSub5Yr8 + cs.ExclSub5Yr9) &gt; 0, cs.Sub5Yr10, IF(cs.Sub5Yr1 + cs.Sub5Yr2 + cs.Sub5Yr3 + cs.Sub5Yr4 + cs.Sub5Yr5 + cs.Sub5Yr6 + cs.Sub5Yr7 + cs.Sub5Yr8 + cs.Sub5Yr9 + cs.Sub5Yr10 &gt; 25000, cs.Sub5Yr1 + cs.Sub5Yr2 + cs.Sub5Yr3 + cs.Sub5Yr4 + cs.Sub5Yr5 + cs.Sub5Yr6 + cs.Sub5Yr7 + cs.Sub5Yr8 + cs.Sub5Yr9 + cs.Sub5Yr10 - 25000, 0))</f>
        <v>0</v>
      </c>
      <c r="AZ206" s="243">
        <f t="shared" si="237"/>
        <v>0</v>
      </c>
      <c r="BB206" s="78"/>
      <c r="BC206" s="79" t="s">
        <v>298</v>
      </c>
      <c r="BD206" s="80"/>
      <c r="BE206" s="855" t="s">
        <v>299</v>
      </c>
      <c r="BF206" s="855"/>
      <c r="BG206" s="855"/>
      <c r="BH206" s="855"/>
      <c r="BI206" s="855"/>
      <c r="BJ206" s="855"/>
      <c r="BK206" s="855"/>
      <c r="BL206" s="855"/>
      <c r="BM206" s="855"/>
      <c r="BN206" s="855"/>
      <c r="BO206" s="855"/>
      <c r="BP206" s="141"/>
      <c r="BQ206" s="141"/>
      <c r="BR206" s="141"/>
      <c r="BU206" s="22"/>
      <c r="BV206" s="22"/>
      <c r="BW206" s="22"/>
      <c r="BX206" s="22"/>
      <c r="BY206" s="22"/>
      <c r="BZ206" s="22"/>
      <c r="CA206" s="22"/>
      <c r="CB206" s="22"/>
      <c r="CC206" s="22"/>
      <c r="CD206" s="149"/>
    </row>
    <row r="207" spans="2:83" ht="38.25" customHeight="1" collapsed="1" thickBot="1" x14ac:dyDescent="0.3">
      <c r="B207" s="781" t="s">
        <v>304</v>
      </c>
      <c r="C207" s="781"/>
      <c r="D207" s="781"/>
      <c r="E207" s="781"/>
      <c r="F207" s="781"/>
      <c r="G207" s="781"/>
      <c r="H207" s="781"/>
      <c r="I207" s="781"/>
      <c r="J207" s="341"/>
      <c r="K207" s="341"/>
      <c r="L207" s="341"/>
      <c r="M207" s="341"/>
      <c r="N207" s="341"/>
      <c r="O207" s="341"/>
      <c r="P207" s="341"/>
      <c r="Q207" s="341"/>
      <c r="R207" s="341"/>
      <c r="S207" s="341"/>
      <c r="T207" s="341"/>
      <c r="U207" s="341"/>
      <c r="V207" s="341"/>
      <c r="W207" s="341"/>
      <c r="X207" s="341"/>
      <c r="Y207" s="341"/>
      <c r="Z207" s="341"/>
      <c r="AA207" s="341"/>
      <c r="AB207" s="341"/>
      <c r="AC207" s="341"/>
      <c r="AD207" s="342">
        <f t="shared" ref="AD207:AM207" si="242">SUM(AD197,AD199,AD201,AD203,AD205)</f>
        <v>0</v>
      </c>
      <c r="AE207" s="342">
        <f t="shared" si="242"/>
        <v>0</v>
      </c>
      <c r="AF207" s="342">
        <f t="shared" si="242"/>
        <v>0</v>
      </c>
      <c r="AG207" s="342">
        <f t="shared" si="242"/>
        <v>0</v>
      </c>
      <c r="AH207" s="342">
        <f t="shared" si="242"/>
        <v>0</v>
      </c>
      <c r="AI207" s="342">
        <f t="shared" si="242"/>
        <v>0</v>
      </c>
      <c r="AJ207" s="342">
        <f t="shared" si="242"/>
        <v>0</v>
      </c>
      <c r="AK207" s="342">
        <f t="shared" si="242"/>
        <v>0</v>
      </c>
      <c r="AL207" s="342">
        <f t="shared" si="242"/>
        <v>0</v>
      </c>
      <c r="AM207" s="342">
        <f t="shared" si="242"/>
        <v>0</v>
      </c>
      <c r="AN207" s="506">
        <f>SUM(SubAwrdTtl1, SubAwrdTtl2, SubAwrdTtl3, SubAwrdTtl4, SubAwrdTtl5, SubAwrdTtl6, SubAwrdTtl7, SubAwrdTtl8, SubAwrdTtl9, SubAwrdTtl10)</f>
        <v>0</v>
      </c>
      <c r="AO207" s="512">
        <f t="shared" si="236"/>
        <v>0</v>
      </c>
      <c r="AP207" s="376">
        <f t="shared" ref="AP207:AZ207" si="243">SUM(AP197,AP199,AP201,AP203,AP205)</f>
        <v>0</v>
      </c>
      <c r="AQ207" s="376">
        <f t="shared" si="243"/>
        <v>0</v>
      </c>
      <c r="AR207" s="376">
        <f t="shared" si="243"/>
        <v>0</v>
      </c>
      <c r="AS207" s="376">
        <f t="shared" si="243"/>
        <v>0</v>
      </c>
      <c r="AT207" s="376">
        <f t="shared" si="243"/>
        <v>0</v>
      </c>
      <c r="AU207" s="376">
        <f t="shared" si="243"/>
        <v>0</v>
      </c>
      <c r="AV207" s="376">
        <f t="shared" si="243"/>
        <v>0</v>
      </c>
      <c r="AW207" s="376">
        <f t="shared" si="243"/>
        <v>0</v>
      </c>
      <c r="AX207" s="376">
        <f t="shared" si="243"/>
        <v>0</v>
      </c>
      <c r="AY207" s="376">
        <f t="shared" si="243"/>
        <v>0</v>
      </c>
      <c r="AZ207" s="377">
        <f t="shared" si="243"/>
        <v>0</v>
      </c>
      <c r="BA207" s="378"/>
      <c r="BB207" s="838" t="s">
        <v>304</v>
      </c>
      <c r="BC207" s="838"/>
      <c r="BD207" s="838"/>
      <c r="BE207" s="838"/>
      <c r="BF207" s="838"/>
      <c r="BG207" s="838"/>
      <c r="BH207" s="838"/>
      <c r="BI207" s="838"/>
      <c r="BJ207" s="838"/>
      <c r="BK207" s="838"/>
      <c r="BL207" s="838"/>
      <c r="BM207" s="838"/>
      <c r="BN207" s="838"/>
      <c r="BO207" s="838"/>
      <c r="BP207" s="838"/>
      <c r="BQ207" s="838"/>
      <c r="BR207" s="838"/>
      <c r="BS207" s="838"/>
      <c r="BT207" s="838"/>
      <c r="BU207" s="838"/>
      <c r="BV207" s="838"/>
      <c r="BW207" s="838"/>
      <c r="BX207" s="838"/>
      <c r="BY207" s="838"/>
      <c r="BZ207" s="838"/>
      <c r="CA207" s="838"/>
      <c r="CB207" s="838"/>
      <c r="CC207" s="838"/>
      <c r="CD207" s="839"/>
      <c r="CE207" s="28"/>
    </row>
    <row r="208" spans="2:83" ht="42" customHeight="1" x14ac:dyDescent="0.25">
      <c r="B208" s="793" t="s">
        <v>305</v>
      </c>
      <c r="C208" s="793"/>
      <c r="D208" s="793"/>
      <c r="E208" s="793"/>
      <c r="F208" s="793"/>
      <c r="G208" s="793"/>
      <c r="H208" s="793"/>
      <c r="I208" s="793"/>
      <c r="J208" s="339"/>
      <c r="K208" s="339"/>
      <c r="L208" s="339"/>
      <c r="M208" s="339"/>
      <c r="N208" s="339"/>
      <c r="O208" s="339"/>
      <c r="P208" s="339"/>
      <c r="Q208" s="339"/>
      <c r="R208" s="339"/>
      <c r="S208" s="339"/>
      <c r="T208" s="339"/>
      <c r="U208" s="339"/>
      <c r="V208" s="339"/>
      <c r="W208" s="339"/>
      <c r="X208" s="339"/>
      <c r="Y208" s="339"/>
      <c r="Z208" s="339"/>
      <c r="AA208" s="339"/>
      <c r="AB208" s="339"/>
      <c r="AC208" s="339"/>
      <c r="AD208" s="340">
        <f>SrSalary1 + OtherPersonnnelSalary1 + SrFringe1 + Oth.PerBenefitsTuition1 + Equip1 + Travel1 + PSCYr1+OtherDirCosts1 + SubAwrdTtl1</f>
        <v>0</v>
      </c>
      <c r="AE208" s="340">
        <f>SrSalary2 + OtherPersonnelSalary2 + SrFringe2 + Oth.PerBenefitsTuition2 + Equip2 + Travel2 + PSCYr2 + OtherDirCosts2 + SubAwrdTtl2</f>
        <v>0</v>
      </c>
      <c r="AF208" s="340">
        <f>SrSalary3 + OtherPersonnelSalary3 + SrFringe3 + Oth.PerBenefitsTuition3 + Equip3 + Travel3 + PSCYr3 + OtherDirCosts3 + SubAwrdTtl3</f>
        <v>0</v>
      </c>
      <c r="AG208" s="340">
        <f>SrSalary4 + OtherPersonnelSalary4 + SrFringe4 + Oth.PerBenefitsTuition4 + Equip4 + Travel4 + PSCYr4 + OtherDirCosts4 + SubAwrdTtl4</f>
        <v>0</v>
      </c>
      <c r="AH208" s="340">
        <f>SrSalary5 + OtherPersonnelSalary5 + SrFringe5 + Oth.PerBenefitsTuition5 + Equip5 + Travel5 + PSCYr5 + OtherDirCosts5 + SubAwrdTtl5</f>
        <v>0</v>
      </c>
      <c r="AI208" s="340">
        <f>SrSalary6 + OtherPersonnelSalary6 + SrFringe6 + Oth.PerBenefitsTuition6 + Equip6 + Travel6 + PSCYr6 + OtherDirCosts6 + SubAwrdTtl6</f>
        <v>0</v>
      </c>
      <c r="AJ208" s="340">
        <f>SrSalary7 + OtherPersonnelSalary7 + SrFringe7 + Oth.PerBenefitsTuition7 + Equip7 + Travel7 + PSCYr7 + OtherDirCosts7 + SubAwrdTtl7</f>
        <v>0</v>
      </c>
      <c r="AK208" s="340">
        <f>SrSalary8 + OtherPersonnelSalary8 + SrFringe8 + Oth.PerBenefitsTuition8 + Equip8 + Travel8 + PSCYr8 + OtherDirCosts8 + SubAwrdTtl8</f>
        <v>0</v>
      </c>
      <c r="AL208" s="340">
        <f>SrSalary9 + OtherPersonnelSalary9 + SrFringe9 + Oth.PerBenefitsTuition9 + Equip9 + Travel9 + PSCYr9 + OtherDirCosts9 + SubAwrdTtl9</f>
        <v>0</v>
      </c>
      <c r="AM208" s="340">
        <f>SrSalary10 + OtherPersonnelSalary10 + SrFringe10 + Oth.PerBenefitsTuition10 + Equip10 + Travel10 + PSCYr10 + OtherDirCosts10 + SubAwrdTtl10</f>
        <v>0</v>
      </c>
      <c r="AN208" s="507">
        <f>SUM(TDCYr1, TDCYr2, TDCYr3, TDCYr4, TDCYr5, TDCYr6, TDCYr7, TDCYr8, TDCYr9, TDCYr10)</f>
        <v>0</v>
      </c>
      <c r="AO208" s="512">
        <f t="shared" si="236"/>
        <v>0</v>
      </c>
      <c r="AP208" s="374">
        <f>SUM(cs.SrSalary1,  cs.Tot.Oth.PerSalary1, cs.SrFringe1, cs.Tot.Oth.Per.Ben.Tuit1, cs.Equip1, cs.Travel1, cs.PSCYr1, cs.OthDirCost1, cs.SubTot1)</f>
        <v>0</v>
      </c>
      <c r="AQ208" s="374">
        <f>SUM(cs.SrSalary2,  cs.Tot.Oth.PerSalary2, cs.SrFringe2, cs.Tot.Oth.Per.Ben.Tuit2, cs.Equip2, cs.Travel2, cs.PSCYr2, cs.OthDirCost2, cs.SubTot2)</f>
        <v>0</v>
      </c>
      <c r="AR208" s="374">
        <f>SUM(cs.SrSalary3,  cs.Tot.Oth.PerSalary3, cs.SrFringe3, cs.Tot.Oth.Per.Ben.Tuit3, cs.Equip3, cs.Travel3, cs.PSCYr3, cs.OthDirCost3, cs.SubTot3)</f>
        <v>0</v>
      </c>
      <c r="AS208" s="374">
        <f>SUM(cs.SrSalary4,  cs.Tot.Oth.PerSalary4, cs.SrFringe4, cs.Tot.Oth.Per.Ben.Tuit4, cs.Equip4, cs.Travel4, cs.PSCYr4, cs.OthDirCost4, cs.SubTot4)</f>
        <v>0</v>
      </c>
      <c r="AT208" s="374">
        <f t="shared" ref="AT208:AY208" si="244">SUM(cs.SrSalary5,  cs.Tot.Oth.PerSalary5, cs.SrFringe5, cs.Tot.Oth.Per.Ben.Tuit5, cs.Equip5, cs.Travel5, cs.PSCYr5, cs.OthDirCost5, cs.SubTot5)</f>
        <v>0</v>
      </c>
      <c r="AU208" s="374">
        <f t="shared" si="244"/>
        <v>0</v>
      </c>
      <c r="AV208" s="374">
        <f t="shared" si="244"/>
        <v>0</v>
      </c>
      <c r="AW208" s="374">
        <f t="shared" si="244"/>
        <v>0</v>
      </c>
      <c r="AX208" s="374">
        <f t="shared" si="244"/>
        <v>0</v>
      </c>
      <c r="AY208" s="374">
        <f t="shared" si="244"/>
        <v>0</v>
      </c>
      <c r="AZ208" s="374">
        <f>SUM(AP208:AT208)</f>
        <v>0</v>
      </c>
      <c r="BA208" s="375"/>
      <c r="BB208" s="840" t="s">
        <v>305</v>
      </c>
      <c r="BC208" s="840"/>
      <c r="BD208" s="840"/>
      <c r="BE208" s="840"/>
      <c r="BF208" s="840"/>
      <c r="BG208" s="840"/>
      <c r="BH208" s="840"/>
      <c r="BI208" s="840"/>
      <c r="BJ208" s="840"/>
      <c r="BK208" s="840"/>
      <c r="BL208" s="840"/>
      <c r="BM208" s="840"/>
      <c r="BN208" s="840"/>
      <c r="BO208" s="840"/>
      <c r="BP208" s="840"/>
      <c r="BQ208" s="840"/>
      <c r="BR208" s="840"/>
      <c r="BS208" s="840"/>
      <c r="BT208" s="840"/>
      <c r="BU208" s="840"/>
      <c r="BV208" s="840"/>
      <c r="BW208" s="840"/>
      <c r="BX208" s="840"/>
      <c r="BY208" s="840"/>
      <c r="BZ208" s="840"/>
      <c r="CA208" s="840"/>
      <c r="CB208" s="840"/>
      <c r="CC208" s="840"/>
      <c r="CD208" s="841"/>
      <c r="CE208" s="28"/>
    </row>
    <row r="209" spans="2:83" ht="56.25" customHeight="1" thickBot="1" x14ac:dyDescent="0.3">
      <c r="B209" s="738" t="s">
        <v>306</v>
      </c>
      <c r="C209" s="738"/>
      <c r="D209" s="738"/>
      <c r="E209" s="738"/>
      <c r="F209" s="738"/>
      <c r="G209" s="738"/>
      <c r="H209" s="738"/>
      <c r="I209" s="738"/>
      <c r="J209" s="738"/>
      <c r="K209" s="738"/>
      <c r="L209" s="738"/>
      <c r="M209" s="738"/>
      <c r="N209" s="738"/>
      <c r="O209" s="738"/>
      <c r="P209" s="738"/>
      <c r="Q209" s="738"/>
      <c r="R209" s="738"/>
      <c r="S209" s="738"/>
      <c r="T209" s="738"/>
      <c r="U209" s="738"/>
      <c r="V209" s="738"/>
      <c r="W209" s="738"/>
      <c r="X209" s="738"/>
      <c r="Y209" s="738"/>
      <c r="Z209" s="738"/>
      <c r="AA209" s="738"/>
      <c r="AB209" s="738"/>
      <c r="AC209" s="738"/>
      <c r="AD209" s="738"/>
      <c r="AE209" s="738"/>
      <c r="AF209" s="738"/>
      <c r="AG209" s="738"/>
      <c r="AH209" s="738"/>
      <c r="AI209" s="738"/>
      <c r="AJ209" s="738"/>
      <c r="AK209" s="738"/>
      <c r="AL209" s="738"/>
      <c r="AM209" s="738"/>
      <c r="AN209" s="749"/>
      <c r="AO209" s="512"/>
      <c r="AP209" s="672" t="s">
        <v>306</v>
      </c>
      <c r="AQ209" s="672"/>
      <c r="AR209" s="672"/>
      <c r="AS209" s="672"/>
      <c r="AT209" s="672"/>
      <c r="AU209" s="672"/>
      <c r="AV209" s="672"/>
      <c r="AW209" s="672"/>
      <c r="AX209" s="672"/>
      <c r="AY209" s="672"/>
      <c r="AZ209" s="672"/>
      <c r="BA209" s="672"/>
      <c r="BB209" s="672"/>
      <c r="BC209" s="672"/>
      <c r="BD209" s="672"/>
      <c r="BE209" s="672"/>
      <c r="BF209" s="672"/>
      <c r="BG209" s="672"/>
      <c r="BH209" s="672"/>
      <c r="BI209" s="672"/>
      <c r="BJ209" s="672"/>
      <c r="BK209" s="672"/>
      <c r="BL209" s="672"/>
      <c r="BM209" s="672"/>
      <c r="BN209" s="672"/>
      <c r="BO209" s="672"/>
      <c r="BP209" s="672"/>
      <c r="BQ209" s="672"/>
      <c r="BR209" s="672"/>
      <c r="BS209" s="672"/>
      <c r="BT209" s="672"/>
      <c r="BU209" s="672"/>
      <c r="BV209" s="672"/>
      <c r="BW209" s="672"/>
      <c r="BX209" s="672"/>
      <c r="BY209" s="672"/>
      <c r="BZ209" s="672"/>
      <c r="CA209" s="672"/>
      <c r="CB209" s="672"/>
      <c r="CC209" s="672"/>
      <c r="CD209" s="672"/>
    </row>
    <row r="210" spans="2:83" ht="38.25" customHeight="1" thickTop="1" thickBot="1" x14ac:dyDescent="0.3">
      <c r="B210" s="782" t="s">
        <v>307</v>
      </c>
      <c r="C210" s="782"/>
      <c r="D210" s="782"/>
      <c r="E210" s="782"/>
      <c r="F210" s="782"/>
      <c r="G210" s="782"/>
      <c r="H210" s="782"/>
      <c r="I210" s="782"/>
      <c r="J210" s="244"/>
      <c r="K210" s="244"/>
      <c r="L210" s="244"/>
      <c r="M210" s="244"/>
      <c r="N210" s="244"/>
      <c r="O210" s="244"/>
      <c r="P210" s="244"/>
      <c r="Q210" s="245"/>
      <c r="R210" s="245"/>
      <c r="S210" s="245"/>
      <c r="T210" s="245"/>
      <c r="U210" s="245"/>
      <c r="V210" s="245"/>
      <c r="W210" s="245"/>
      <c r="X210" s="245"/>
      <c r="Y210" s="245"/>
      <c r="Z210" s="245"/>
      <c r="AA210" s="245"/>
      <c r="AB210" s="245"/>
      <c r="AC210" s="245"/>
      <c r="AD210" s="246">
        <f>IF(
    RateOptions="OtherTDC",
    TDCYr1,
    IF(
        RateOptions="Wages&amp;Fringe Only",
        TDCYr1-Tuition1-Equip1-PSCYr1-OtherDirCosts1-Travel1-SUM(SubsYr1Excl),
        TDCYr1-Tuition1-Equip1-PSCYr1-SUM(SubsYr1Excl)
    )
)</f>
        <v>0</v>
      </c>
      <c r="AE210" s="246">
        <f>IF(
    RateOptions="OtherTDC",
    TDCYr2,
    IF(
        RateOptions="Wages&amp;Fringe Only",
        TDCYr2-Tuition2-Equip2-PSCYr2-OtherDirCosts2-Travel2-SUM(SubsYr2Excl),
        TDCYr2-Tuition2-Equip2-PSCYr2-SUM(SubsYr2Excl)
    )
)</f>
        <v>0</v>
      </c>
      <c r="AF210" s="246">
        <f>IF(
    RateOptions="OtherTDC",
    TDCYr3,
    IF(
        RateOptions="Wages&amp;Fringe Only",
        TDCYr3-Tuition3-Equip3-PSCYr3-OtherDirCosts3-Travel3-SUM(SubsYr3Excl),
        TDCYr3-Tuition3-Equip3-PSCYr3-SUM(SubsYr3Excl)
    )
)</f>
        <v>0</v>
      </c>
      <c r="AG210" s="246">
        <f>IF(
    RateOptions="OtherTDC",
    TDCYr4,
    IF(
        RateOptions="Wages&amp;Fringe Only",
        TDCYr4-Tuition4-Equip4-PSCYr4-OtherDirCosts4-Travel4-SUM(SubsYr4Excl),
        TDCYr4-Tuition4-Equip4-PSCYr4-SUM(SubsYr4Excl)
    )
)</f>
        <v>0</v>
      </c>
      <c r="AH210" s="246">
        <f>IF(
    RateOptions="OtherTDC",
    TDCYr5,
    IF(
        RateOptions="Wages&amp;Fringe Only",
        TDCYr5-Tuition5-Equip5-PSCYr5-OtherDirCosts5-Travel5-SUM(SubsYr5Excl),
        TDCYr5-Tuition5-Equip5-PSCYr5-SUM(SubsYr5Excl)
    )
)</f>
        <v>0</v>
      </c>
      <c r="AI210" s="246">
        <f>IF(
    RateOptions="OtherTDC",
    TDCYr6,
    IF(
        RateOptions="Wages&amp;Fringe Only",
        TDCYr6-Tuition6-Equip6-PSCYr6-OtherDirCosts6-Travel6-SUM(SubsYr6Excl),
        TDCYr6-Tuition6-Equip6-PSCYr6-SUM(SubsYr6Excl)
    )
)</f>
        <v>0</v>
      </c>
      <c r="AJ210" s="246">
        <f>IF(
    RateOptions="OtherTDC",
    TDCYr7,
    IF(
        RateOptions="Wages&amp;Fringe Only",
        TDCYr7-Tuition7-Equip7-PSCYr7-OtherDirCosts7-Travel7-SUM(SubsYr7Excl),
        TDCYr7-Tuition7-Equip7-PSCYr7-SUM(SubsYr7Excl)
    )
)</f>
        <v>0</v>
      </c>
      <c r="AK210" s="246">
        <f>IF(
    RateOptions="OtherTDC",
    TDCYr8,
    IF(
        RateOptions="Wages&amp;Fringe Only",
        TDCYr8-Tuition8-Equip8-PSCYr8-OtherDirCosts8-Travel8-SUM(SubsYr8Excl),
        TDCYr8-Tuition8-Equip8-PSCYr8-SUM(SubsYr8Excl)
    )
)</f>
        <v>0</v>
      </c>
      <c r="AL210" s="246">
        <f>IF(
    RateOptions="OtherTDC",
    TDCYr9,
    IF(
        RateOptions="Wages&amp;Fringe Only",
        TDCYr9-Tuition9-Equip9-PSCYr9-OtherDirCosts9-Travel9-SUM(SubsYr9Excl),
        TDCYr9-Tuition9-Equip9-PSCYr9-SUM(SubsYr9Excl)
    )
)</f>
        <v>0</v>
      </c>
      <c r="AM210" s="246">
        <f>IF(
    RateOptions="OtherTDC",
    TDCYr10,
    IF(
        RateOptions="Wages&amp;Fringe Only",
        TDCYr10-Tuition10-Equip10-PSCYr10-OtherDirCosts10-Travel10-SUM(SubsYr10Excl),
        TDCYr10-Tuition10-Equip10-PSCYr10-SUM(SubsYr10Excl)
    )
)</f>
        <v>0</v>
      </c>
      <c r="AN210" s="505">
        <f>SUM(IDCBase1,IDCBase2,IDCBase3, IDCBase4, IDCBase5, IDCBase6, IDCBase7, IDCBase8, IDCBase9, IDCBase10)</f>
        <v>0</v>
      </c>
      <c r="AO210" s="512">
        <f>IDCBaseTOT+AZ210</f>
        <v>0</v>
      </c>
      <c r="AP210" s="118">
        <f>IF(
       cs.RateOptions="OtherTDC",
       cs.TDCY1,
       IF(
             cs.RateOptions="Wages&amp;Fringe Only",
              cs.TDCY1-cs.GRA.Tuition1-cs.Equip1-cs.Travel1-cs.PSCYr1-cs.OthDirCost1-SUM(cs.SubsExcl1),
              cs.TDCY1-cs.GRA.Tuition1-cs.Equip1-cs.PSCYr1-SUM(cs.SubsExcl1)
           )
)</f>
        <v>0</v>
      </c>
      <c r="AQ210" s="118">
        <f>IF(
       cs.RateOptions="OtherTDC",
       cs.TDCY2,
       IF(
             cs.RateOptions="Wages&amp;Fringe Only",
              cs.TDCY2-cs.GRA.Tuition2-cs.Equip2-cs.Travel2-cs.PSCYr2-cs.OthDirCost2-SUM(cs.SubsExcl2),
              cs.TDCY2-cs.GRA.Tuition2-cs.Equip2-cs.PSCYr2-SUM(cs.SubsExcl2)
           )
)</f>
        <v>0</v>
      </c>
      <c r="AR210" s="118">
        <f>IF(
       cs.RateOptions="OtherTDC",
       cs.TDCY3,
       IF(
             cs.RateOptions="Wages&amp;Fringe Only",
              cs.TDCY3-cs.GRA.Tuition3-cs.Equip3-cs.Travel3-cs.PSCYr3-cs.OthDirCost3-SUM(cs.SubsExcl3),
              cs.TDCY3-cs.GRA.Tuition3-cs.Equip3-cs.PSCYr3-SUM(cs.SubsExcl3)
           )
)</f>
        <v>0</v>
      </c>
      <c r="AS210" s="118">
        <f>IF(
       cs.RateOptions="OtherTDC",
       cs.TDCY4,
       IF(
             cs.RateOptions="Wages&amp;Fringe Only",
              cs.TDCY4-cs.GRA.Tuition4-cs.Equip4-cs.Travel4-cs.PSCYr4-cs.OthDirCost4-SUM(cs.SubsExcl4),
              cs.TDCY4-cs.GRA.Tuition4-cs.Equip4-cs.PSCYr4-SUM(cs.SubsExcl4)
           )
)</f>
        <v>0</v>
      </c>
      <c r="AT210" s="118">
        <f>IF(
       cs.RateOptions="OtherTDC",
       cs.TDCY5,
       IF(
             cs.RateOptions="Wages&amp;Fringe Only",
              cs.TDCY5-cs.GRA.Tuition5-cs.Equip5-cs.Travel5-cs.PSCYr5-cs.OthDirCost5-SUM(cs.SubsExcl5),
              cs.TDCY5-cs.GRA.Tuition5-cs.Equip5-cs.PSCYr5-SUM(cs.SubsExcl5)
           )
)</f>
        <v>0</v>
      </c>
      <c r="AU210" s="118" cm="1">
        <f t="array" ref="AU210">IF(
       cs.RateOptions="OtherTDC",
       cs.TDCY6,
       IF(
             cs.RateOptions="Wages&amp;Fringe Only",
              cs.TDCY6-cs.GRA.Tuition6-cs.Equip6-cs.Travel6-cs.PSCYr6-cs.OthDirCost6-SUM(cs.SubsExcl6),
              cs.TDCY6-cs.GRA.Tuition6-cs.Equip6-cs.PSCYr6-SUM(cs.SubsExcl6)
           )
)</f>
        <v>0</v>
      </c>
      <c r="AV210" s="118" cm="1">
        <f t="array" ref="AV210">IF(
       cs.RateOptions="OtherTDC",
       cs.TDCY7,
       IF(
             cs.RateOptions="Wages&amp;Fringe Only",
              cs.TDCY7-cs.GRA.Tuition7-cs.Equip7-cs.Travel7-cs.PSCYr7-cs.OthDirCost7-SUM(cs.SubsExcl7),
              cs.TDCY7-cs.GRA.Tuition7-cs.Equip7-cs.PSCYr7-SUM(cs.SubsExcl7)
           )
)</f>
        <v>0</v>
      </c>
      <c r="AW210" s="118" cm="1">
        <f t="array" ref="AW210">IF(
       cs.RateOptions="OtherTDC",
       cs.TDCY8,
       IF(
             cs.RateOptions="Wages&amp;Fringe Only",
              cs.TDCY8-cs.GRA.Tuition8-cs.Equip8-cs.Travel8-cs.PSCYr8-cs.OthDirCost8-SUM(cs.SubsExcl8),
              cs.TDCY8-cs.GRA.Tuition8-cs.Equip8-cs.PSCYr8-SUM(cs.SubsExcl8)
           )
)</f>
        <v>0</v>
      </c>
      <c r="AX210" s="118" cm="1">
        <f t="array" ref="AX210">IF(
       cs.RateOptions="OtherTDC",
       cs.TDCY9,
       IF(
             cs.RateOptions="Wages&amp;Fringe Only",
              cs.TDCY9-cs.GRA.Tuition9-cs.Equip9-cs.Travel9-cs.PSCYr9-cs.OthDirCost9-SUM(cs.SubsExcl9),
              cs.TDCY9-cs.GRA.Tuition9-cs.Equip9-cs.PSCYr9-SUM(cs.SubsExcl9)
           )
)</f>
        <v>0</v>
      </c>
      <c r="AY210" s="118" cm="1">
        <f t="array" ref="AY210">IF(
       cs.RateOptions="OtherTDC",
       cs.TDCY10,
       IF(
             cs.RateOptions="Wages&amp;Fringe Only",
              cs.TDCY10-cs.GRA.Tuition10-cs.Equip10-cs.Travel10-cs.PSCYr10-cs.OthDirCost10-SUM(cs.SubsExcl10),
              cs.TDCY10-cs.GRA.Tuition10-cs.Equip10-cs.PSCYr10-SUM(cs.SubsExcl10)
           )
)</f>
        <v>0</v>
      </c>
      <c r="AZ210" s="118">
        <f>SUM(AP210:AY210)</f>
        <v>0</v>
      </c>
      <c r="BA210" s="685" t="s">
        <v>307</v>
      </c>
      <c r="BB210" s="685"/>
      <c r="BC210" s="685"/>
      <c r="BD210" s="214"/>
      <c r="BE210" s="214"/>
      <c r="BF210" s="214"/>
      <c r="BG210" s="214"/>
      <c r="BH210" s="214"/>
      <c r="BI210" s="214"/>
      <c r="BJ210" s="214"/>
      <c r="BK210" s="214"/>
      <c r="BL210" s="214"/>
      <c r="BM210" s="214"/>
      <c r="BN210" s="214"/>
      <c r="BO210" s="214"/>
      <c r="BP210" s="214"/>
      <c r="BQ210" s="214"/>
      <c r="BR210" s="214"/>
      <c r="BS210" s="214"/>
      <c r="BT210" s="214"/>
      <c r="BU210" s="214"/>
      <c r="BV210" s="214"/>
      <c r="BW210" s="214"/>
      <c r="BX210" s="214"/>
      <c r="BY210" s="214"/>
      <c r="BZ210" s="214"/>
      <c r="CA210" s="214"/>
      <c r="CB210" s="214"/>
      <c r="CC210" s="214"/>
      <c r="CD210" s="214"/>
      <c r="CE210" s="28"/>
    </row>
    <row r="211" spans="2:83" ht="49.5" customHeight="1" thickBot="1" x14ac:dyDescent="0.3">
      <c r="B211" s="791" t="s">
        <v>308</v>
      </c>
      <c r="C211" s="791"/>
      <c r="D211" s="765" t="s">
        <v>309</v>
      </c>
      <c r="E211" s="765"/>
      <c r="F211" s="765"/>
      <c r="G211" s="83" cm="1">
        <f t="array" ref="G211">_xlfn.IFS(RateOptions=Rates!B3,Rates!C3,
RateOptions=Rates!B4,Rates!C4,
RateOptions=Rates!B5,Rates!C5,
RateOptions=Rates!B6,Rates!C6,
RateOptions=Rates!B7,Rates!C7,
RateOptions=Rates!B8,Rates!C8,
RateOptions=Rates!B9,Rates!C9,
RateOptions=Rates!B10,Rates!C10,
RateOptions=Rates!B11,Rates!C11, RateOptions=Rates!B12, Rates!C12)</f>
        <v>0.52500000000000002</v>
      </c>
      <c r="H211" s="792" t="s">
        <v>310</v>
      </c>
      <c r="I211" s="792"/>
      <c r="J211" s="305"/>
      <c r="K211" s="305"/>
      <c r="L211" s="305"/>
      <c r="M211" s="305"/>
      <c r="N211" s="305"/>
      <c r="O211" s="305"/>
      <c r="P211" s="305"/>
      <c r="Q211" s="732">
        <v>0</v>
      </c>
      <c r="R211" s="732"/>
      <c r="S211" s="150"/>
      <c r="T211" s="150"/>
      <c r="U211" s="150"/>
      <c r="V211" s="150"/>
      <c r="W211" s="150"/>
      <c r="X211" s="150"/>
      <c r="Y211" s="150"/>
      <c r="Z211" s="150"/>
      <c r="AA211" s="150"/>
      <c r="AB211" s="150"/>
      <c r="AC211" s="150"/>
      <c r="AD211" s="84">
        <f>IF(IDCRate &lt;&gt;  0, IDCRate * IDCBase1, OtherRate * IDCBase1)</f>
        <v>0</v>
      </c>
      <c r="AE211" s="84">
        <f>IF(IDCRate &lt;&gt; 0, IDCRate * IDCBase2, OtherRate * IDCBase2)</f>
        <v>0</v>
      </c>
      <c r="AF211" s="84">
        <f>IF(IDCRate &lt;&gt; 0, IDCRate * IDCBase3, OtherRate * IDCBase3)</f>
        <v>0</v>
      </c>
      <c r="AG211" s="84">
        <f>IF(IDCRate &lt;&gt; 0, IDCRate * IDCBase4, OtherRate*IDCBase4)</f>
        <v>0</v>
      </c>
      <c r="AH211" s="84">
        <f>IF(IDCRate &lt;&gt; 0, IDCRate * IDCBase5, OtherRate * IDCBase5)</f>
        <v>0</v>
      </c>
      <c r="AI211" s="84">
        <f>IF(IDCRate &lt;&gt; 0, IDCRate * IDCBase6, OtherRate * IDCBase6)</f>
        <v>0</v>
      </c>
      <c r="AJ211" s="84">
        <f>IF(IDCRate &lt;&gt; 0, IDCRate * IDCBase7, OtherRate * IDCBase7)</f>
        <v>0</v>
      </c>
      <c r="AK211" s="84">
        <f>IF(IDCRate &lt;&gt; 0, IDCRate * IDCBase8, OtherRate * IDCBase8)</f>
        <v>0</v>
      </c>
      <c r="AL211" s="84">
        <f>IF(IDCRate &lt;&gt; 0, IDCRate * IDCBase9, OtherRate * IDCBase9)</f>
        <v>0</v>
      </c>
      <c r="AM211" s="84">
        <f>IF(IDCRate &lt;&gt; 0, IDCRate * IDCBase10, OtherRate * IDCBase10)</f>
        <v>0</v>
      </c>
      <c r="AN211" s="504">
        <f>SUM(IDCYr1,IDCYr2,IDCYr3,IDCYr4, IDCYr5, IDCYr6, IDCYr7, IDCYr8, IDCYr9, IDCYr10)</f>
        <v>0</v>
      </c>
      <c r="AO211" s="512">
        <f>IDCTOT+AZ211</f>
        <v>0</v>
      </c>
      <c r="AP211" s="370" cm="1">
        <f t="array" ref="AP211">_xlfn.IFS(AND(cs.RateOptions = "OtherTDC", NICRARates= 0), cs.OtherRates * cs.TDCY1,  AND(NICRARates &lt;&gt; 0), NICRARates * cs.IDCbase1, NICRARates=0, cs.OtherRates * cs.IDCbase1)</f>
        <v>0</v>
      </c>
      <c r="AQ211" s="370" cm="1">
        <f t="array" ref="AQ211">_xlfn.IFS(AND(cs.RateOptions = "OtherTDC", NICRARates = 0), cs.OtherRates*cs.TDCY2, AND(NICRARates&lt;&gt;0), NICRARates*cs.IDCbase2, NICRARates=0, cs.OtherRates*cs.IDCbase2)</f>
        <v>0</v>
      </c>
      <c r="AR211" s="370" cm="1">
        <f t="array" ref="AR211">_xlfn.IFS(AND(cs.RateOptions = "OtherTDC", NICRARates = 0), cs.OtherRates*cs.TDCY3, AND(NICRARates &lt;&gt; 0), NICRARates*cs.IDCbase3, NICRARates = 0, cs.OtherRates*cs.IDCbase3)</f>
        <v>0</v>
      </c>
      <c r="AS211" s="370" cm="1">
        <f t="array" ref="AS211">_xlfn.IFS(AND(cs.RateOptions = "OtherTDC", NICRARates= 0),cs.OtherRates*cs.TDCY4, AND(NICRARates&lt;&gt;0), NICRARates*cs.IDCbase4, NICRARates=0,cs.OtherRates*cs.IDCbase4)</f>
        <v>0</v>
      </c>
      <c r="AT211" s="370" cm="1">
        <f t="array" ref="AT211">_xlfn.IFS(AND(cs.RateOptions = "OtherTDC", NICRARates= 0),cs.OtherRates*cs.TDCY5, AND(NICRARates&lt;&gt;0), NICRARates*cs.IDCbase5, NICRARates=0,cs.OtherRates*cs.IDCbase5)</f>
        <v>0</v>
      </c>
      <c r="AU211" s="370" cm="1">
        <f t="array" ref="AU211">_xlfn.IFS(AND(cs.RateOptions = "OtherTDC", NICRARates= 0),cs.OtherRates*cs.TDCY6, AND(NICRARates&lt;&gt;0), NICRARates*cs.IDCbase6, NICRARates=0,cs.OtherRates*cs.IDCbase6)</f>
        <v>0</v>
      </c>
      <c r="AV211" s="370" cm="1">
        <f t="array" ref="AV211">_xlfn.IFS(AND(cs.RateOptions = "OtherTDC", NICRARates= 0),cs.OtherRates*cs.TDCY7, AND(NICRARates&lt;&gt;0), NICRARates*cs.IDCbase7, NICRARates=0,cs.OtherRates*cs.IDCbase7)</f>
        <v>0</v>
      </c>
      <c r="AW211" s="370" cm="1">
        <f t="array" ref="AW211">_xlfn.IFS(AND(cs.RateOptions = "OtherTDC", NICRARates= 0),cs.OtherRates*cs.TDCY8, AND(NICRARates&lt;&gt;0), NICRARates*cs.IDCbase8, NICRARates=0,cs.OtherRates*cs.IDCbase8)</f>
        <v>0</v>
      </c>
      <c r="AX211" s="370" cm="1">
        <f t="array" ref="AX211">_xlfn.IFS(AND(cs.RateOptions = "OtherTDC", NICRARates= 0),cs.OtherRates*cs.TDCY9, AND(NICRARates&lt;&gt;0), NICRARates*cs.IDCbase9, NICRARates=0,cs.OtherRates*cs.IDCbase9)</f>
        <v>0</v>
      </c>
      <c r="AY211" s="370" cm="1">
        <f t="array" ref="AY211">_xlfn.IFS(AND(cs.RateOptions = "OtherTDC", NICRARates= 0),cs.OtherRates*cs.TDCY10, AND(NICRARates&lt;&gt;0), NICRARates*cs.IDCbase10, NICRARates=0,cs.OtherRates*cs.IDCbase10)</f>
        <v>0</v>
      </c>
      <c r="AZ211" s="370">
        <f>SUM(AP211:AT211)</f>
        <v>0</v>
      </c>
      <c r="BA211" s="829" t="s">
        <v>308</v>
      </c>
      <c r="BB211" s="829"/>
      <c r="BC211" s="829"/>
      <c r="BD211" s="386"/>
      <c r="BE211" s="386"/>
      <c r="BF211" s="386"/>
      <c r="BG211" s="386"/>
      <c r="BH211" s="386"/>
      <c r="BI211" s="386"/>
      <c r="BJ211" s="386"/>
      <c r="BK211" s="386"/>
      <c r="BL211" s="686" t="s">
        <v>311</v>
      </c>
      <c r="BM211" s="686"/>
      <c r="BN211" s="686"/>
      <c r="BO211" s="372" cm="1">
        <f t="array" ref="BO211">_xlfn.IFS(cs.RateOptions=Rates!B3,Rates!C3,
cs.RateOptions=Rates!B4,Rates!C45,
cs.RateOptions=Rates!B5,Rates!C5,
cs.RateOptions=Rates!B6,Rates!C6,
cs.RateOptions=Rates!B7,Rates!C7,
cs.RateOptions=Rates!B8,Rates!C8,
cs.RateOptions=Rates!B9,Rates!C9,
cs.RateOptions=Rates!B10,Rates!C10,
cs.RateOptions=Rates!B11,Rates!C11, cs.RateOptions=Rates!B12,Rates!C12)</f>
        <v>0</v>
      </c>
      <c r="BP211" s="687" t="s">
        <v>310</v>
      </c>
      <c r="BQ211" s="687"/>
      <c r="BR211" s="688">
        <v>0</v>
      </c>
      <c r="BS211" s="688"/>
      <c r="BT211" s="371"/>
      <c r="BU211" s="371"/>
      <c r="BV211" s="371"/>
      <c r="BW211" s="371"/>
      <c r="BX211" s="371"/>
      <c r="BY211" s="371"/>
      <c r="BZ211" s="371"/>
      <c r="CA211" s="371"/>
      <c r="CB211" s="371"/>
      <c r="CC211" s="371"/>
      <c r="CD211" s="373"/>
    </row>
    <row r="212" spans="2:83" ht="66" hidden="1" customHeight="1" outlineLevel="1" thickBot="1" x14ac:dyDescent="0.3">
      <c r="B212" s="698" t="s">
        <v>312</v>
      </c>
      <c r="C212" s="698"/>
      <c r="D212" s="698"/>
      <c r="E212" s="698"/>
      <c r="F212" s="698"/>
      <c r="G212" s="698"/>
      <c r="H212" s="698"/>
      <c r="I212" s="698"/>
      <c r="J212" s="698"/>
      <c r="K212" s="698"/>
      <c r="L212" s="698"/>
      <c r="M212" s="698"/>
      <c r="N212" s="698"/>
      <c r="O212" s="698"/>
      <c r="P212" s="698"/>
      <c r="Q212" s="698"/>
      <c r="R212" s="698"/>
      <c r="S212" s="698"/>
      <c r="T212" s="698"/>
      <c r="U212" s="698"/>
      <c r="V212" s="698"/>
      <c r="W212" s="698"/>
      <c r="X212" s="698"/>
      <c r="Y212" s="698"/>
      <c r="Z212" s="698"/>
      <c r="AA212" s="698"/>
      <c r="AB212" s="698"/>
      <c r="AC212" s="698"/>
      <c r="AD212" s="698"/>
      <c r="AE212" s="698"/>
      <c r="AF212" s="698"/>
      <c r="AG212" s="698"/>
      <c r="AH212" s="698"/>
      <c r="AI212" s="698"/>
      <c r="AJ212" s="698"/>
      <c r="AK212" s="698"/>
      <c r="AL212" s="698"/>
      <c r="AM212" s="698"/>
      <c r="AN212" s="699"/>
      <c r="AO212" s="514">
        <f>AZ212</f>
        <v>0</v>
      </c>
      <c r="AP212" s="277">
        <f>IF(cs.NICRARate = 0, 0, (cs.NICRARate * IDCBase1) - IDCYr1)</f>
        <v>0</v>
      </c>
      <c r="AQ212" s="277">
        <f>IF(cs.NICRARate = 0,0, (cs.NICRARate * IDCBase2) - IDCYr2)</f>
        <v>0</v>
      </c>
      <c r="AR212" s="277">
        <f>IF(cs.NICRARate = 0,0, (cs.NICRARate * IDCBase3) - IDCYr3)</f>
        <v>0</v>
      </c>
      <c r="AS212" s="277">
        <f>IF(cs.NICRARate = 0,0, (cs.NICRARate * IDCBase4) - IDCYr4)</f>
        <v>0</v>
      </c>
      <c r="AT212" s="277">
        <f>IF(cs.NICRARate = 0,0, (cs.NICRARate * IDCBase5) - IDCYr5)</f>
        <v>0</v>
      </c>
      <c r="AU212" s="277">
        <f>IF(cs.NICRARate = 0,0, (cs.NICRARate * IDCBase6) - IDCYr6)</f>
        <v>0</v>
      </c>
      <c r="AV212" s="277">
        <f>IF(cs.NICRARate = 0,0, (cs.NICRARate * IDCBase7) - IDCYr7)</f>
        <v>0</v>
      </c>
      <c r="AW212" s="277">
        <f>IF(cs.NICRARate = 0,0, (cs.NICRARate * IDCBase8) - IDCYr8)</f>
        <v>0</v>
      </c>
      <c r="AX212" s="277">
        <f>IF(cs.NICRARate = 0,0, (cs.NICRARate * IDCBase9) - IDCYr9)</f>
        <v>0</v>
      </c>
      <c r="AY212" s="277">
        <f>IF(cs.NICRARate = 0,0, (cs.NICRARate * IDCBase10) - IDCYr10)</f>
        <v>0</v>
      </c>
      <c r="AZ212" s="278">
        <f>SUM(AP212:AT212)</f>
        <v>0</v>
      </c>
      <c r="BA212" s="852" t="s">
        <v>313</v>
      </c>
      <c r="BB212" s="853"/>
      <c r="BC212" s="853"/>
      <c r="BD212" s="854" t="s">
        <v>314</v>
      </c>
      <c r="BE212" s="854"/>
      <c r="BF212" s="854"/>
      <c r="BG212" s="854"/>
      <c r="BH212" s="854"/>
      <c r="BI212" s="854"/>
      <c r="BJ212" s="854"/>
      <c r="BK212" s="854"/>
      <c r="BL212" s="854"/>
      <c r="BM212" s="854"/>
      <c r="BN212" s="696" t="s">
        <v>315</v>
      </c>
      <c r="BO212" s="697"/>
      <c r="BP212" s="279">
        <v>0</v>
      </c>
      <c r="BQ212" s="280"/>
      <c r="BR212" s="280"/>
      <c r="BS212" s="280"/>
      <c r="BT212" s="280"/>
      <c r="BU212" s="280"/>
      <c r="BV212" s="280"/>
      <c r="BW212" s="280"/>
      <c r="BX212" s="280"/>
      <c r="BY212" s="280"/>
      <c r="BZ212" s="280"/>
      <c r="CA212" s="280"/>
      <c r="CB212" s="280"/>
      <c r="CC212" s="280"/>
      <c r="CD212" s="281"/>
    </row>
    <row r="213" spans="2:83" ht="62.25" customHeight="1" collapsed="1" thickBot="1" x14ac:dyDescent="0.35">
      <c r="B213" s="779" t="s">
        <v>316</v>
      </c>
      <c r="C213" s="779"/>
      <c r="D213" s="779"/>
      <c r="E213" s="779"/>
      <c r="F213" s="779"/>
      <c r="G213" s="779"/>
      <c r="H213" s="779"/>
      <c r="I213" s="779"/>
      <c r="J213" s="228"/>
      <c r="K213" s="228"/>
      <c r="L213" s="228"/>
      <c r="M213" s="228"/>
      <c r="N213" s="228"/>
      <c r="O213" s="228"/>
      <c r="P213" s="228"/>
      <c r="Q213" s="229"/>
      <c r="R213" s="229"/>
      <c r="S213" s="229"/>
      <c r="T213" s="229"/>
      <c r="U213" s="229"/>
      <c r="V213" s="229"/>
      <c r="W213" s="229"/>
      <c r="X213" s="229"/>
      <c r="Y213" s="229"/>
      <c r="Z213" s="229"/>
      <c r="AA213" s="229"/>
      <c r="AB213" s="229"/>
      <c r="AC213" s="229"/>
      <c r="AD213" s="230">
        <f>TDCYr1+IDCYr1</f>
        <v>0</v>
      </c>
      <c r="AE213" s="230">
        <f>TDCYr2+IDCYr2</f>
        <v>0</v>
      </c>
      <c r="AF213" s="230">
        <f>TDCYr3+IDCYr3</f>
        <v>0</v>
      </c>
      <c r="AG213" s="230">
        <f>TDCYr4+IDCYr4</f>
        <v>0</v>
      </c>
      <c r="AH213" s="230">
        <f>TDCYr5+IDCYr5</f>
        <v>0</v>
      </c>
      <c r="AI213" s="230">
        <f>TDCYr6+IDCYr6</f>
        <v>0</v>
      </c>
      <c r="AJ213" s="230">
        <f>TDCYr7+IDCYr7</f>
        <v>0</v>
      </c>
      <c r="AK213" s="230">
        <f>TDCYr8+IDCYr8</f>
        <v>0</v>
      </c>
      <c r="AL213" s="230">
        <f>TDCYr9+IDCYr9</f>
        <v>0</v>
      </c>
      <c r="AM213" s="230">
        <f>TDCYr10+IDCYr10</f>
        <v>0</v>
      </c>
      <c r="AN213" s="538">
        <f>TDCTOT+IDCTOT</f>
        <v>0</v>
      </c>
      <c r="AO213" s="514">
        <f>TotalCostsTOT+AZ213</f>
        <v>0</v>
      </c>
      <c r="AP213" s="283">
        <f>(cs.TDCY1 + cs.IDCYr1) + cs.ForgoneIdcCalculation1</f>
        <v>0</v>
      </c>
      <c r="AQ213" s="283">
        <f>(cs.TDCY2 + cs.IDCYr2) + cs.ForgoneIdcCalculation2</f>
        <v>0</v>
      </c>
      <c r="AR213" s="283">
        <f>(cs.TDCY3 + cs.IDCYr3) + cs.ForgoneIdcCalculation3</f>
        <v>0</v>
      </c>
      <c r="AS213" s="283">
        <f>(cs.TDCY4 + cs.IDCYr4) + cs.ForgoneIdcCalculation4</f>
        <v>0</v>
      </c>
      <c r="AT213" s="283">
        <f>(cs.TDCY5 + cs.IDCYr5) + cs.ForgoneIdcCalculation5</f>
        <v>0</v>
      </c>
      <c r="AU213" s="283" cm="1">
        <f t="array" ref="AU213">(cs.TDCY5 + cs.IDCYr6) + cs.ForgoneIdcCalculation6</f>
        <v>0</v>
      </c>
      <c r="AV213" s="283" cm="1">
        <f t="array" ref="AV213">(cs.TDCY5 + cs.IDCYr7) + cs.ForgoneIdcCalculation7</f>
        <v>0</v>
      </c>
      <c r="AW213" s="283" cm="1">
        <f t="array" ref="AW213">(cs.TDCY5 + cs.IDCYr8) + cs.ForgoneIdcCalculation8</f>
        <v>0</v>
      </c>
      <c r="AX213" s="283" cm="1">
        <f t="array" ref="AX213">(cs.TDCY5 + cs.IDCYr9) + cs.ForgoneIdcCalculation9</f>
        <v>0</v>
      </c>
      <c r="AY213" s="283" cm="1">
        <f t="array" ref="AY213">(cs.TDCY5 + cs.IDCYr10) + cs.ForgoneIdcCalculation10</f>
        <v>0</v>
      </c>
      <c r="AZ213" s="283">
        <f>(cs.TDCTot + cs.IDCTot ) + cs.ForgoneIdcCalculationTot</f>
        <v>0</v>
      </c>
      <c r="BA213" s="828" t="s">
        <v>317</v>
      </c>
      <c r="BB213" s="828"/>
      <c r="BC213" s="828"/>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
    </row>
    <row r="214" spans="2:83" ht="25.5" customHeight="1" thickTop="1" x14ac:dyDescent="0.2">
      <c r="G214" s="46"/>
    </row>
    <row r="215" spans="2:83" ht="25.5" customHeight="1" x14ac:dyDescent="0.2">
      <c r="G215" s="47"/>
    </row>
  </sheetData>
  <mergeCells count="496">
    <mergeCell ref="BB79:BC79"/>
    <mergeCell ref="BB78:BC78"/>
    <mergeCell ref="BB77:BC77"/>
    <mergeCell ref="BB76:BC76"/>
    <mergeCell ref="BB75:BC75"/>
    <mergeCell ref="BA70:BA90"/>
    <mergeCell ref="BA93:BA113"/>
    <mergeCell ref="BA212:BC212"/>
    <mergeCell ref="BD212:BM212"/>
    <mergeCell ref="BE198:BO198"/>
    <mergeCell ref="BE200:BO200"/>
    <mergeCell ref="BE202:BO202"/>
    <mergeCell ref="BE204:BO204"/>
    <mergeCell ref="BE206:BO206"/>
    <mergeCell ref="BB179:BC183"/>
    <mergeCell ref="BL173:BN173"/>
    <mergeCell ref="BL174:BN174"/>
    <mergeCell ref="BL175:BN175"/>
    <mergeCell ref="BD131:BE131"/>
    <mergeCell ref="BD132:BE132"/>
    <mergeCell ref="BD135:BE135"/>
    <mergeCell ref="BD136:BE136"/>
    <mergeCell ref="BB137:CD137"/>
    <mergeCell ref="AP152:CD152"/>
    <mergeCell ref="BB87:BC87"/>
    <mergeCell ref="BB86:BC86"/>
    <mergeCell ref="BB85:BC85"/>
    <mergeCell ref="BB84:BC84"/>
    <mergeCell ref="BC108:BD108"/>
    <mergeCell ref="BC107:BD107"/>
    <mergeCell ref="BC104:BD104"/>
    <mergeCell ref="BC103:BD103"/>
    <mergeCell ref="BC102:BD102"/>
    <mergeCell ref="BC101:BD101"/>
    <mergeCell ref="BC100:BD100"/>
    <mergeCell ref="BC99:BD99"/>
    <mergeCell ref="BC98:BD98"/>
    <mergeCell ref="BC97:BD97"/>
    <mergeCell ref="BC96:BD96"/>
    <mergeCell ref="BC95:BD95"/>
    <mergeCell ref="BB31:CD31"/>
    <mergeCell ref="BB159:CD159"/>
    <mergeCell ref="BB168:CD168"/>
    <mergeCell ref="BB176:CD176"/>
    <mergeCell ref="BB195:CD195"/>
    <mergeCell ref="BB207:CD207"/>
    <mergeCell ref="BB208:CD208"/>
    <mergeCell ref="BD194:BR194"/>
    <mergeCell ref="BD193:BR193"/>
    <mergeCell ref="BD192:BR192"/>
    <mergeCell ref="BD189:BR189"/>
    <mergeCell ref="BD188:BR188"/>
    <mergeCell ref="BD187:BR187"/>
    <mergeCell ref="BD186:BR186"/>
    <mergeCell ref="BD185:BR185"/>
    <mergeCell ref="BD184:BR184"/>
    <mergeCell ref="AP177:CD177"/>
    <mergeCell ref="AS144:AS145"/>
    <mergeCell ref="AT144:AT145"/>
    <mergeCell ref="BB74:BC74"/>
    <mergeCell ref="BB83:BC83"/>
    <mergeCell ref="BB82:BC82"/>
    <mergeCell ref="BB81:BC81"/>
    <mergeCell ref="BB80:BC80"/>
    <mergeCell ref="BA213:BC213"/>
    <mergeCell ref="BA211:BC211"/>
    <mergeCell ref="AP92:CD92"/>
    <mergeCell ref="AZ142:AZ143"/>
    <mergeCell ref="AP144:AP145"/>
    <mergeCell ref="AQ144:AQ145"/>
    <mergeCell ref="AR144:AR145"/>
    <mergeCell ref="AP140:AP141"/>
    <mergeCell ref="AQ140:AQ141"/>
    <mergeCell ref="AR140:AR141"/>
    <mergeCell ref="BC94:BD94"/>
    <mergeCell ref="BC105:BD105"/>
    <mergeCell ref="BC106:BD106"/>
    <mergeCell ref="BC109:BD109"/>
    <mergeCell ref="BC110:BD110"/>
    <mergeCell ref="BC111:BD111"/>
    <mergeCell ref="BC112:BD112"/>
    <mergeCell ref="BC113:BD113"/>
    <mergeCell ref="BD119:BE119"/>
    <mergeCell ref="BD120:BE120"/>
    <mergeCell ref="BD123:BE123"/>
    <mergeCell ref="AP115:CD115"/>
    <mergeCell ref="AZ179:AZ183"/>
    <mergeCell ref="AT142:AT143"/>
    <mergeCell ref="AP142:AP143"/>
    <mergeCell ref="AQ142:AQ143"/>
    <mergeCell ref="AR142:AR143"/>
    <mergeCell ref="B137:U137"/>
    <mergeCell ref="D136:E136"/>
    <mergeCell ref="D128:E128"/>
    <mergeCell ref="AO140:AO141"/>
    <mergeCell ref="AG140:AG141"/>
    <mergeCell ref="AH140:AH141"/>
    <mergeCell ref="AN142:AN143"/>
    <mergeCell ref="AD140:AD141"/>
    <mergeCell ref="AE140:AE141"/>
    <mergeCell ref="AF140:AF141"/>
    <mergeCell ref="AE142:AE143"/>
    <mergeCell ref="AG142:AG143"/>
    <mergeCell ref="AH142:AH143"/>
    <mergeCell ref="AL140:AL141"/>
    <mergeCell ref="AM140:AM141"/>
    <mergeCell ref="AI142:AI143"/>
    <mergeCell ref="AJ142:AJ143"/>
    <mergeCell ref="AK142:AK143"/>
    <mergeCell ref="AL142:AL143"/>
    <mergeCell ref="AM142:AM143"/>
    <mergeCell ref="F116:AC136"/>
    <mergeCell ref="AQ146:AQ147"/>
    <mergeCell ref="AR146:AR147"/>
    <mergeCell ref="AZ146:AZ147"/>
    <mergeCell ref="AZ165:AZ167"/>
    <mergeCell ref="AZ162:AZ164"/>
    <mergeCell ref="BL170:BN170"/>
    <mergeCell ref="BL171:BN171"/>
    <mergeCell ref="BL172:BN172"/>
    <mergeCell ref="AP169:CD169"/>
    <mergeCell ref="AS146:AS147"/>
    <mergeCell ref="AT146:AT147"/>
    <mergeCell ref="AS148:AS149"/>
    <mergeCell ref="AT148:AT149"/>
    <mergeCell ref="AU148:AU149"/>
    <mergeCell ref="AV148:AV149"/>
    <mergeCell ref="AW148:AW149"/>
    <mergeCell ref="AX148:AX149"/>
    <mergeCell ref="AY148:AY149"/>
    <mergeCell ref="BB158:BR158"/>
    <mergeCell ref="BB157:BR157"/>
    <mergeCell ref="BB156:BR156"/>
    <mergeCell ref="BB155:BR155"/>
    <mergeCell ref="BB154:BR154"/>
    <mergeCell ref="BB151:CD151"/>
    <mergeCell ref="AO165:AO167"/>
    <mergeCell ref="AO162:AO164"/>
    <mergeCell ref="B2:E2"/>
    <mergeCell ref="B29:C29"/>
    <mergeCell ref="B30:C30"/>
    <mergeCell ref="B10:C10"/>
    <mergeCell ref="B11:C11"/>
    <mergeCell ref="B12:C12"/>
    <mergeCell ref="B13:C13"/>
    <mergeCell ref="B28:C28"/>
    <mergeCell ref="B4:C4"/>
    <mergeCell ref="B5:C5"/>
    <mergeCell ref="D3:F3"/>
    <mergeCell ref="D4:F4"/>
    <mergeCell ref="B3:C3"/>
    <mergeCell ref="B9:I9"/>
    <mergeCell ref="B26:C26"/>
    <mergeCell ref="B25:C25"/>
    <mergeCell ref="B24:C24"/>
    <mergeCell ref="B23:C23"/>
    <mergeCell ref="B22:C22"/>
    <mergeCell ref="B21:C21"/>
    <mergeCell ref="B20:C20"/>
    <mergeCell ref="B19:C19"/>
    <mergeCell ref="B18:C18"/>
    <mergeCell ref="B17:C17"/>
    <mergeCell ref="AD9:AN9"/>
    <mergeCell ref="AD32:AN32"/>
    <mergeCell ref="B32:I32"/>
    <mergeCell ref="B92:AN92"/>
    <mergeCell ref="Q33:AC53"/>
    <mergeCell ref="F70:AC90"/>
    <mergeCell ref="F93:AC113"/>
    <mergeCell ref="B54:AC54"/>
    <mergeCell ref="B31:AC31"/>
    <mergeCell ref="B67:AC67"/>
    <mergeCell ref="C111:D111"/>
    <mergeCell ref="B73:C73"/>
    <mergeCell ref="B88:C88"/>
    <mergeCell ref="B89:C89"/>
    <mergeCell ref="B90:C90"/>
    <mergeCell ref="B91:I91"/>
    <mergeCell ref="B70:C70"/>
    <mergeCell ref="B71:C71"/>
    <mergeCell ref="B72:C72"/>
    <mergeCell ref="C112:D112"/>
    <mergeCell ref="C113:D113"/>
    <mergeCell ref="B86:C86"/>
    <mergeCell ref="D135:E135"/>
    <mergeCell ref="D127:E127"/>
    <mergeCell ref="D131:E131"/>
    <mergeCell ref="D120:E120"/>
    <mergeCell ref="D124:E124"/>
    <mergeCell ref="D123:E123"/>
    <mergeCell ref="B83:C83"/>
    <mergeCell ref="B82:C82"/>
    <mergeCell ref="B81:C81"/>
    <mergeCell ref="B87:C87"/>
    <mergeCell ref="C95:D95"/>
    <mergeCell ref="C96:D96"/>
    <mergeCell ref="C97:D97"/>
    <mergeCell ref="C98:D98"/>
    <mergeCell ref="C99:D99"/>
    <mergeCell ref="C100:D100"/>
    <mergeCell ref="C101:D101"/>
    <mergeCell ref="B85:C85"/>
    <mergeCell ref="B84:C84"/>
    <mergeCell ref="C102:D102"/>
    <mergeCell ref="C103:D103"/>
    <mergeCell ref="C104:D104"/>
    <mergeCell ref="C108:D108"/>
    <mergeCell ref="C107:D107"/>
    <mergeCell ref="B68:AC68"/>
    <mergeCell ref="B55:AN55"/>
    <mergeCell ref="B69:AN69"/>
    <mergeCell ref="C94:D94"/>
    <mergeCell ref="C105:D105"/>
    <mergeCell ref="C106:D106"/>
    <mergeCell ref="C109:D109"/>
    <mergeCell ref="C110:D110"/>
    <mergeCell ref="D132:E132"/>
    <mergeCell ref="B80:C80"/>
    <mergeCell ref="B79:C79"/>
    <mergeCell ref="B78:C78"/>
    <mergeCell ref="B74:C74"/>
    <mergeCell ref="B77:C77"/>
    <mergeCell ref="B76:C76"/>
    <mergeCell ref="B75:C75"/>
    <mergeCell ref="B213:I213"/>
    <mergeCell ref="B209:AN209"/>
    <mergeCell ref="B159:I159"/>
    <mergeCell ref="B168:I168"/>
    <mergeCell ref="B176:I176"/>
    <mergeCell ref="B195:I195"/>
    <mergeCell ref="B207:I207"/>
    <mergeCell ref="B210:I210"/>
    <mergeCell ref="B178:C178"/>
    <mergeCell ref="B170:D170"/>
    <mergeCell ref="AN162:AN164"/>
    <mergeCell ref="AN165:AN167"/>
    <mergeCell ref="B179:C183"/>
    <mergeCell ref="AN179:AN183"/>
    <mergeCell ref="B211:C211"/>
    <mergeCell ref="H211:I211"/>
    <mergeCell ref="B208:I208"/>
    <mergeCell ref="B185:C185"/>
    <mergeCell ref="B186:C186"/>
    <mergeCell ref="B194:C194"/>
    <mergeCell ref="B187:C187"/>
    <mergeCell ref="B177:AN177"/>
    <mergeCell ref="B165:C167"/>
    <mergeCell ref="B172:D172"/>
    <mergeCell ref="B192:C192"/>
    <mergeCell ref="AL146:AL147"/>
    <mergeCell ref="D211:F211"/>
    <mergeCell ref="E203:U203"/>
    <mergeCell ref="E201:U201"/>
    <mergeCell ref="B196:AN196"/>
    <mergeCell ref="E197:U197"/>
    <mergeCell ref="E206:U206"/>
    <mergeCell ref="B193:C193"/>
    <mergeCell ref="E202:U202"/>
    <mergeCell ref="E198:U198"/>
    <mergeCell ref="B189:C189"/>
    <mergeCell ref="B184:C184"/>
    <mergeCell ref="Q153:AC158"/>
    <mergeCell ref="AJ146:AJ147"/>
    <mergeCell ref="AK146:AK147"/>
    <mergeCell ref="D164:P164"/>
    <mergeCell ref="D165:P165"/>
    <mergeCell ref="D161:P161"/>
    <mergeCell ref="AI148:AI149"/>
    <mergeCell ref="AJ148:AJ149"/>
    <mergeCell ref="AK148:AK149"/>
    <mergeCell ref="AL148:AL149"/>
    <mergeCell ref="AM148:AM149"/>
    <mergeCell ref="AI140:AI141"/>
    <mergeCell ref="AJ140:AJ141"/>
    <mergeCell ref="AK140:AK141"/>
    <mergeCell ref="B169:AN169"/>
    <mergeCell ref="B175:D175"/>
    <mergeCell ref="E200:U200"/>
    <mergeCell ref="B162:C164"/>
    <mergeCell ref="AC161:AC164"/>
    <mergeCell ref="AC165:AC167"/>
    <mergeCell ref="D166:P166"/>
    <mergeCell ref="D167:P167"/>
    <mergeCell ref="B160:AN160"/>
    <mergeCell ref="B161:C161"/>
    <mergeCell ref="B154:C154"/>
    <mergeCell ref="B155:C155"/>
    <mergeCell ref="B156:C156"/>
    <mergeCell ref="B157:C157"/>
    <mergeCell ref="B158:C158"/>
    <mergeCell ref="B173:D173"/>
    <mergeCell ref="B174:D174"/>
    <mergeCell ref="B171:D171"/>
    <mergeCell ref="B188:C188"/>
    <mergeCell ref="AM146:AM147"/>
    <mergeCell ref="D163:P163"/>
    <mergeCell ref="BD127:BE127"/>
    <mergeCell ref="BD128:BE128"/>
    <mergeCell ref="B138:AN138"/>
    <mergeCell ref="AN140:AN141"/>
    <mergeCell ref="AG144:AG145"/>
    <mergeCell ref="AH144:AH145"/>
    <mergeCell ref="B151:U151"/>
    <mergeCell ref="AN148:AN149"/>
    <mergeCell ref="B153:C153"/>
    <mergeCell ref="AN144:AN145"/>
    <mergeCell ref="AN146:AN147"/>
    <mergeCell ref="AG146:AG147"/>
    <mergeCell ref="AH146:AH147"/>
    <mergeCell ref="AG148:AG149"/>
    <mergeCell ref="AH148:AH149"/>
    <mergeCell ref="G139:AC149"/>
    <mergeCell ref="AD148:AD149"/>
    <mergeCell ref="AD144:AD145"/>
    <mergeCell ref="AD146:AD147"/>
    <mergeCell ref="AE148:AE149"/>
    <mergeCell ref="AF148:AF149"/>
    <mergeCell ref="AE144:AE145"/>
    <mergeCell ref="AE146:AE147"/>
    <mergeCell ref="AI146:AI147"/>
    <mergeCell ref="AT140:AT141"/>
    <mergeCell ref="AS142:AS143"/>
    <mergeCell ref="BB54:CD54"/>
    <mergeCell ref="BB67:CD67"/>
    <mergeCell ref="BB68:CD68"/>
    <mergeCell ref="BB91:CD91"/>
    <mergeCell ref="BB114:CD114"/>
    <mergeCell ref="BB150:CD150"/>
    <mergeCell ref="Q211:R211"/>
    <mergeCell ref="E199:U199"/>
    <mergeCell ref="E204:U204"/>
    <mergeCell ref="E205:U205"/>
    <mergeCell ref="AO179:AO183"/>
    <mergeCell ref="B150:U150"/>
    <mergeCell ref="B152:AN152"/>
    <mergeCell ref="AO142:AO143"/>
    <mergeCell ref="AO144:AO145"/>
    <mergeCell ref="AO146:AO147"/>
    <mergeCell ref="AO148:AO149"/>
    <mergeCell ref="AF142:AF143"/>
    <mergeCell ref="B115:AN115"/>
    <mergeCell ref="D119:E119"/>
    <mergeCell ref="AD142:AD143"/>
    <mergeCell ref="AF144:AF145"/>
    <mergeCell ref="BN212:BO212"/>
    <mergeCell ref="B212:AN212"/>
    <mergeCell ref="R56:R66"/>
    <mergeCell ref="BD167:BR167"/>
    <mergeCell ref="BD166:BR166"/>
    <mergeCell ref="BD165:BR165"/>
    <mergeCell ref="BD164:BR164"/>
    <mergeCell ref="BD163:BR163"/>
    <mergeCell ref="BD162:BR162"/>
    <mergeCell ref="BD161:BR161"/>
    <mergeCell ref="BD183:BR183"/>
    <mergeCell ref="BD182:BR182"/>
    <mergeCell ref="BD181:BR181"/>
    <mergeCell ref="BB73:BC73"/>
    <mergeCell ref="BB88:BC88"/>
    <mergeCell ref="BB89:BC89"/>
    <mergeCell ref="AP196:CD196"/>
    <mergeCell ref="AP209:CD209"/>
    <mergeCell ref="B114:U114"/>
    <mergeCell ref="BD180:BR180"/>
    <mergeCell ref="BD179:BR179"/>
    <mergeCell ref="BB188:BC188"/>
    <mergeCell ref="BB189:BC189"/>
    <mergeCell ref="AF146:AF147"/>
    <mergeCell ref="AP9:BO9"/>
    <mergeCell ref="BQ9:CD9"/>
    <mergeCell ref="BA210:BC210"/>
    <mergeCell ref="BL211:BN211"/>
    <mergeCell ref="BP211:BQ211"/>
    <mergeCell ref="BR211:BS211"/>
    <mergeCell ref="BB90:BC90"/>
    <mergeCell ref="BN10:BO10"/>
    <mergeCell ref="BN30:BO30"/>
    <mergeCell ref="BN29:BO29"/>
    <mergeCell ref="BN28:BO28"/>
    <mergeCell ref="BN13:BO13"/>
    <mergeCell ref="BN12:BO12"/>
    <mergeCell ref="BN11:BO11"/>
    <mergeCell ref="AP69:CD69"/>
    <mergeCell ref="AP55:CD55"/>
    <mergeCell ref="BL10:BM30"/>
    <mergeCell ref="BB70:BC70"/>
    <mergeCell ref="BB71:BC71"/>
    <mergeCell ref="AP138:CD138"/>
    <mergeCell ref="AP32:CD32"/>
    <mergeCell ref="BB72:BC72"/>
    <mergeCell ref="BL33:BM53"/>
    <mergeCell ref="BD124:BE124"/>
    <mergeCell ref="B16:C16"/>
    <mergeCell ref="B15:C15"/>
    <mergeCell ref="B14:C14"/>
    <mergeCell ref="B27:C27"/>
    <mergeCell ref="BN27:BO27"/>
    <mergeCell ref="BN26:BO26"/>
    <mergeCell ref="BN25:BO25"/>
    <mergeCell ref="BN24:BO24"/>
    <mergeCell ref="BN23:BO23"/>
    <mergeCell ref="BN22:BO22"/>
    <mergeCell ref="BN21:BO21"/>
    <mergeCell ref="BN20:BO20"/>
    <mergeCell ref="BN19:BO19"/>
    <mergeCell ref="BN18:BO18"/>
    <mergeCell ref="BN17:BO17"/>
    <mergeCell ref="BN16:BO16"/>
    <mergeCell ref="BN15:BO15"/>
    <mergeCell ref="S18:T18"/>
    <mergeCell ref="U18:V18"/>
    <mergeCell ref="R20:V20"/>
    <mergeCell ref="U21:V21"/>
    <mergeCell ref="R24:V24"/>
    <mergeCell ref="S25:T25"/>
    <mergeCell ref="BN14:BO14"/>
    <mergeCell ref="T30:U30"/>
    <mergeCell ref="Q10:AC11"/>
    <mergeCell ref="U25:V25"/>
    <mergeCell ref="S22:T22"/>
    <mergeCell ref="S26:T26"/>
    <mergeCell ref="U26:V26"/>
    <mergeCell ref="U22:V22"/>
    <mergeCell ref="S21:T21"/>
    <mergeCell ref="S17:T17"/>
    <mergeCell ref="R28:V28"/>
    <mergeCell ref="T29:U29"/>
    <mergeCell ref="R12:V12"/>
    <mergeCell ref="S14:T14"/>
    <mergeCell ref="U14:V14"/>
    <mergeCell ref="R16:V16"/>
    <mergeCell ref="S13:T13"/>
    <mergeCell ref="U13:V13"/>
    <mergeCell ref="U17:V17"/>
    <mergeCell ref="BB184:BC184"/>
    <mergeCell ref="BB185:BC185"/>
    <mergeCell ref="BB186:BC186"/>
    <mergeCell ref="BB187:BC187"/>
    <mergeCell ref="AP160:CD160"/>
    <mergeCell ref="AU140:AU141"/>
    <mergeCell ref="AV140:AV141"/>
    <mergeCell ref="AW140:AW141"/>
    <mergeCell ref="AX140:AX141"/>
    <mergeCell ref="AY140:AY141"/>
    <mergeCell ref="AU142:AU143"/>
    <mergeCell ref="AV142:AV143"/>
    <mergeCell ref="AW142:AW143"/>
    <mergeCell ref="AX142:AX143"/>
    <mergeCell ref="AY142:AY143"/>
    <mergeCell ref="AZ144:AZ145"/>
    <mergeCell ref="AP146:AP147"/>
    <mergeCell ref="AP148:AP149"/>
    <mergeCell ref="AZ140:AZ141"/>
    <mergeCell ref="AQ148:AQ149"/>
    <mergeCell ref="AR148:AR149"/>
    <mergeCell ref="AZ148:AZ149"/>
    <mergeCell ref="AS140:AS141"/>
    <mergeCell ref="AU144:AU145"/>
    <mergeCell ref="AV144:AV145"/>
    <mergeCell ref="AW144:AW145"/>
    <mergeCell ref="AX144:AX145"/>
    <mergeCell ref="AY144:AY145"/>
    <mergeCell ref="AU146:AU147"/>
    <mergeCell ref="AV146:AV147"/>
    <mergeCell ref="AW146:AW147"/>
    <mergeCell ref="AX146:AX147"/>
    <mergeCell ref="AY146:AY147"/>
    <mergeCell ref="AI144:AI145"/>
    <mergeCell ref="AJ144:AJ145"/>
    <mergeCell ref="AK144:AK145"/>
    <mergeCell ref="AL144:AL145"/>
    <mergeCell ref="AM144:AM145"/>
    <mergeCell ref="D153:P153"/>
    <mergeCell ref="D179:P179"/>
    <mergeCell ref="D178:P178"/>
    <mergeCell ref="D183:P183"/>
    <mergeCell ref="D182:P182"/>
    <mergeCell ref="D181:P181"/>
    <mergeCell ref="D180:P180"/>
    <mergeCell ref="D185:P185"/>
    <mergeCell ref="D184:P184"/>
    <mergeCell ref="D154:P154"/>
    <mergeCell ref="D155:P155"/>
    <mergeCell ref="D156:P156"/>
    <mergeCell ref="D157:P157"/>
    <mergeCell ref="D158:P158"/>
    <mergeCell ref="D162:P162"/>
    <mergeCell ref="D194:P194"/>
    <mergeCell ref="D193:P193"/>
    <mergeCell ref="D192:P192"/>
    <mergeCell ref="D191:P191"/>
    <mergeCell ref="D190:P190"/>
    <mergeCell ref="D189:P189"/>
    <mergeCell ref="D188:P188"/>
    <mergeCell ref="D187:P187"/>
    <mergeCell ref="D186:P186"/>
  </mergeCells>
  <phoneticPr fontId="7" type="noConversion"/>
  <conditionalFormatting sqref="G57:P57 G59:P59 G61:P61 G63:P63 G65:P65">
    <cfRule type="cellIs" dxfId="2" priority="2" operator="greaterThan">
      <formula>20</formula>
    </cfRule>
  </conditionalFormatting>
  <conditionalFormatting sqref="AD154:AM158 AP154:AY158">
    <cfRule type="cellIs" dxfId="1" priority="4" operator="between">
      <formula>4999</formula>
      <formula>1</formula>
    </cfRule>
  </conditionalFormatting>
  <conditionalFormatting sqref="BB57:BK57 BB59:BK59 BB61:BK61 BB63:BK63 BB65:BK65">
    <cfRule type="cellIs" dxfId="0" priority="1" operator="greaterThan">
      <formula>20</formula>
    </cfRule>
  </conditionalFormatting>
  <dataValidations disablePrompts="1" count="5">
    <dataValidation type="list" allowBlank="1" showInputMessage="1" showErrorMessage="1" sqref="S14:T14 T30:U30" xr:uid="{21DB08B0-7BF1-4868-9F65-D6D6A1020F41}">
      <formula1>"8.77, 3.23, 12"</formula1>
    </dataValidation>
    <dataValidation type="list" allowBlank="1" showInputMessage="1" showErrorMessage="1" sqref="S18:T18" xr:uid="{723D1060-FA1E-45DC-82E5-65F9A89290C9}">
      <formula1>"1520, 560, 2080"</formula1>
    </dataValidation>
    <dataValidation type="list" allowBlank="1" showInputMessage="1" showErrorMessage="1" sqref="S22:T22" xr:uid="{2FF47BD3-1ECF-47AE-80B5-C0B0267B03EB}">
      <formula1>"38, 14, 52"</formula1>
    </dataValidation>
    <dataValidation type="list" allowBlank="1" showInputMessage="1" showErrorMessage="1" sqref="S26:T26" xr:uid="{A5AAF538-2225-452A-9CEF-8A4F6747F696}">
      <formula1>"190, 70, 260"</formula1>
    </dataValidation>
    <dataValidation type="list" allowBlank="1" showInputMessage="1" showErrorMessage="1" sqref="F11:F30 BR11:BR30" xr:uid="{9DBD6D6E-3117-4CB4-86E1-9CFC6827F4EE}">
      <formula1>"8.77, 12"</formula1>
    </dataValidation>
  </dataValidations>
  <printOptions verticalCentered="1"/>
  <pageMargins left="0.5" right="0.5" top="0.5" bottom="0.5" header="0.5" footer="0"/>
  <pageSetup scale="29" fitToHeight="2" orientation="landscape" r:id="rId1"/>
  <headerFooter alignWithMargins="0">
    <oddFooter>&amp;LNorthern Arizona University&amp;CPage &amp;P&amp;R&amp;D</oddFooter>
  </headerFooter>
  <rowBreaks count="1" manualBreakCount="1">
    <brk id="152" max="16383" man="1"/>
  </rowBreaks>
  <legacyDrawingHF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9021470D-5B7F-4948-BC63-082A291C78E5}">
          <x14:formula1>
            <xm:f>Rates!$B$3:$B$12</xm:f>
          </x14:formula1>
          <xm:sqref>BL211:BN211 D211:F211</xm:sqref>
        </x14:dataValidation>
        <x14:dataValidation type="list" allowBlank="1" showInputMessage="1" showErrorMessage="1" xr:uid="{A98BD7C4-9FB7-415A-8B6F-4DA3B7AA6113}">
          <x14:formula1>
            <xm:f>Rates!$B$21:$B$23</xm:f>
          </x14:formula1>
          <xm:sqref>D57 BP65 BP63 BP61 BP59 BP57 D65 D63 D61 D59</xm:sqref>
        </x14:dataValidation>
      </x14:dataValidations>
    </ex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133E7-FF12-4093-A1E1-8821281B6649}">
  <sheetPr>
    <tabColor theme="8" tint="-0.249977111117893"/>
  </sheetPr>
  <dimension ref="A1:BO35"/>
  <sheetViews>
    <sheetView showGridLines="0" zoomScaleNormal="100" workbookViewId="0">
      <selection activeCell="Z36" sqref="Z36"/>
    </sheetView>
  </sheetViews>
  <sheetFormatPr defaultRowHeight="12.75" outlineLevelRow="1" x14ac:dyDescent="0.2"/>
  <cols>
    <col min="1" max="1" width="2.5703125" customWidth="1"/>
    <col min="2" max="2" width="3.5703125" customWidth="1"/>
    <col min="3" max="3" width="0.140625" customWidth="1"/>
    <col min="4" max="4" width="3" customWidth="1"/>
    <col min="5" max="5" width="5.42578125" customWidth="1"/>
    <col min="6" max="8" width="9.140625" hidden="1" customWidth="1"/>
    <col min="9" max="9" width="11.140625" customWidth="1"/>
    <col min="10" max="10" width="16" customWidth="1"/>
    <col min="11" max="11" width="11.140625" customWidth="1"/>
    <col min="12" max="12" width="6.85546875" hidden="1" customWidth="1"/>
    <col min="13" max="14" width="9.140625" hidden="1" customWidth="1"/>
    <col min="15" max="15" width="4" customWidth="1"/>
    <col min="16" max="16" width="14.140625" customWidth="1"/>
    <col min="17" max="17" width="6" hidden="1" customWidth="1"/>
    <col min="18" max="20" width="9.140625" hidden="1" customWidth="1"/>
    <col min="21" max="21" width="7.5703125" customWidth="1"/>
    <col min="22" max="22" width="2.5703125" customWidth="1"/>
    <col min="23" max="23" width="0.140625" customWidth="1"/>
    <col min="24" max="24" width="4.140625" hidden="1" customWidth="1"/>
    <col min="25" max="26" width="5" customWidth="1"/>
    <col min="27" max="27" width="0.85546875" customWidth="1"/>
    <col min="28" max="28" width="4.42578125" customWidth="1"/>
    <col min="29" max="29" width="2.7109375" customWidth="1"/>
    <col min="30" max="30" width="2.28515625" customWidth="1"/>
    <col min="31" max="31" width="5" customWidth="1"/>
    <col min="32" max="32" width="2.140625" customWidth="1"/>
    <col min="33" max="33" width="2.5703125" customWidth="1"/>
    <col min="34" max="60" width="3.140625" customWidth="1"/>
    <col min="61" max="61" width="9.140625" customWidth="1"/>
    <col min="62" max="62" width="2.42578125" customWidth="1"/>
    <col min="63" max="65" width="9.140625" hidden="1" customWidth="1"/>
    <col min="66" max="66" width="5.5703125" customWidth="1"/>
  </cols>
  <sheetData>
    <row r="1" spans="1:67" ht="6" customHeight="1" x14ac:dyDescent="0.2"/>
    <row r="2" spans="1:67" ht="17.25" customHeight="1" x14ac:dyDescent="0.3">
      <c r="B2" s="939" t="s">
        <v>318</v>
      </c>
      <c r="C2" s="939"/>
      <c r="D2" s="939"/>
      <c r="E2" s="939"/>
      <c r="F2" s="939"/>
      <c r="G2" s="939"/>
      <c r="H2" s="939"/>
      <c r="I2" s="939"/>
      <c r="J2" s="939"/>
      <c r="K2" s="939"/>
      <c r="L2" s="939"/>
      <c r="M2" s="939"/>
      <c r="N2" s="939"/>
      <c r="O2" s="939"/>
      <c r="P2" s="939"/>
      <c r="Q2" s="939"/>
      <c r="R2" s="939"/>
      <c r="S2" s="939"/>
      <c r="T2" s="939"/>
      <c r="U2" s="939"/>
      <c r="V2" s="939"/>
      <c r="W2" s="939"/>
      <c r="X2" s="939"/>
      <c r="Y2" s="939"/>
      <c r="Z2" s="939"/>
      <c r="AA2" s="939"/>
      <c r="AB2" s="939"/>
      <c r="AC2" s="939"/>
      <c r="AD2" s="939"/>
      <c r="AE2" s="939"/>
      <c r="AF2" s="939"/>
      <c r="AG2" s="939"/>
      <c r="AH2" s="939"/>
      <c r="AI2" s="939"/>
      <c r="AJ2" s="939"/>
      <c r="AK2" s="939"/>
      <c r="AL2" s="939"/>
      <c r="AM2" s="939"/>
      <c r="AN2" s="939"/>
      <c r="AO2" s="939"/>
      <c r="AP2" s="939"/>
      <c r="AQ2" s="939"/>
      <c r="AR2" s="939"/>
      <c r="AS2" s="939"/>
      <c r="AT2" s="939"/>
      <c r="AU2" s="939"/>
      <c r="AV2" s="939"/>
      <c r="AW2" s="939"/>
      <c r="AX2" s="939"/>
      <c r="AY2" s="939"/>
      <c r="AZ2" s="939"/>
      <c r="BA2" s="939"/>
      <c r="BB2" s="939"/>
      <c r="BC2" s="939"/>
      <c r="BD2" s="939"/>
      <c r="BE2" s="939"/>
      <c r="BF2" s="939"/>
      <c r="BG2" s="939"/>
      <c r="BH2" s="939"/>
      <c r="BI2" s="939"/>
      <c r="BJ2" s="939"/>
      <c r="BK2" s="939"/>
      <c r="BL2" s="939"/>
      <c r="BM2" s="939"/>
      <c r="BN2" s="939"/>
      <c r="BO2" s="11"/>
    </row>
    <row r="3" spans="1:67" ht="13.5" customHeight="1" x14ac:dyDescent="0.25">
      <c r="B3" s="940" t="s">
        <v>319</v>
      </c>
      <c r="C3" s="940"/>
      <c r="D3" s="940"/>
      <c r="E3" s="940"/>
      <c r="F3" s="940"/>
      <c r="G3" s="940"/>
      <c r="H3" s="940"/>
      <c r="I3" s="940"/>
      <c r="J3" s="940"/>
      <c r="K3" s="940"/>
      <c r="L3" s="940"/>
      <c r="M3" s="940"/>
      <c r="N3" s="940"/>
      <c r="O3" s="940"/>
      <c r="P3" s="940"/>
      <c r="Q3" s="940"/>
      <c r="R3" s="940"/>
      <c r="S3" s="940"/>
      <c r="T3" s="940"/>
      <c r="U3" s="940"/>
      <c r="V3" s="940"/>
      <c r="W3" s="940"/>
      <c r="X3" s="940"/>
      <c r="Y3" s="940"/>
      <c r="Z3" s="940"/>
      <c r="AA3" s="940"/>
      <c r="AB3" s="940"/>
      <c r="AC3" s="940"/>
      <c r="AD3" s="940"/>
      <c r="AE3" s="940"/>
      <c r="AF3" s="940"/>
      <c r="AG3" s="940"/>
      <c r="AH3" s="940"/>
      <c r="AI3" s="940"/>
      <c r="AJ3" s="940"/>
      <c r="AK3" s="940"/>
      <c r="AL3" s="940"/>
      <c r="AM3" s="940"/>
      <c r="AN3" s="940"/>
      <c r="AO3" s="940"/>
      <c r="AP3" s="940"/>
      <c r="AQ3" s="940"/>
      <c r="AR3" s="940"/>
      <c r="AS3" s="940"/>
      <c r="AT3" s="940"/>
      <c r="AU3" s="940"/>
      <c r="AV3" s="940"/>
      <c r="AW3" s="940"/>
      <c r="AX3" s="940"/>
      <c r="AY3" s="940"/>
      <c r="AZ3" s="940"/>
      <c r="BA3" s="940"/>
      <c r="BB3" s="940"/>
      <c r="BC3" s="940"/>
      <c r="BD3" s="940"/>
      <c r="BE3" s="940"/>
      <c r="BF3" s="940"/>
      <c r="BG3" s="940"/>
      <c r="BH3" s="940"/>
      <c r="BI3" s="940"/>
      <c r="BJ3" s="940"/>
      <c r="BK3" s="940"/>
      <c r="BL3" s="940"/>
      <c r="BM3" s="940"/>
      <c r="BN3" s="940"/>
      <c r="BO3" s="11"/>
    </row>
    <row r="4" spans="1:67" ht="15.75" x14ac:dyDescent="0.25">
      <c r="B4" s="941" t="s">
        <v>320</v>
      </c>
      <c r="C4" s="941"/>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941"/>
      <c r="AM4" s="941"/>
      <c r="AN4" s="941"/>
      <c r="AO4" s="941"/>
      <c r="AP4" s="941"/>
      <c r="AQ4" s="941"/>
      <c r="AR4" s="941"/>
      <c r="AS4" s="941"/>
      <c r="AT4" s="941"/>
      <c r="AU4" s="941"/>
      <c r="AV4" s="941"/>
      <c r="AW4" s="941"/>
      <c r="AX4" s="941"/>
      <c r="AY4" s="941"/>
      <c r="AZ4" s="941"/>
      <c r="BA4" s="941"/>
      <c r="BB4" s="941"/>
      <c r="BC4" s="941"/>
      <c r="BD4" s="941"/>
      <c r="BE4" s="941"/>
      <c r="BF4" s="941"/>
      <c r="BG4" s="941"/>
      <c r="BH4" s="941"/>
      <c r="BI4" s="941"/>
      <c r="BJ4" s="941"/>
      <c r="BK4" s="941"/>
      <c r="BL4" s="941"/>
      <c r="BM4" s="941"/>
      <c r="BN4" s="941"/>
      <c r="BO4" s="11"/>
    </row>
    <row r="5" spans="1:67" ht="6.75" customHeight="1" x14ac:dyDescent="0.25">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row>
    <row r="6" spans="1:67" ht="3.75" customHeight="1" x14ac:dyDescent="0.25">
      <c r="B6" s="6"/>
      <c r="F6" s="6"/>
      <c r="H6" s="6"/>
      <c r="L6" s="6"/>
      <c r="M6" s="2"/>
      <c r="N6" s="2"/>
      <c r="O6" s="2"/>
      <c r="P6" s="2"/>
      <c r="Q6" s="2"/>
      <c r="R6" s="2"/>
      <c r="S6" s="2"/>
      <c r="U6" s="6"/>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7" ht="15" x14ac:dyDescent="0.25">
      <c r="B7" s="6"/>
      <c r="F7" s="6"/>
      <c r="H7" s="6"/>
      <c r="K7" s="942" t="s">
        <v>321</v>
      </c>
      <c r="L7" s="942"/>
      <c r="M7" s="942"/>
      <c r="N7" s="942"/>
      <c r="O7" s="942"/>
      <c r="P7" s="942" t="s">
        <v>322</v>
      </c>
      <c r="Q7" s="942"/>
      <c r="R7" s="942"/>
      <c r="S7" s="942"/>
      <c r="T7" s="942"/>
      <c r="U7" s="942" t="s">
        <v>323</v>
      </c>
      <c r="V7" s="942"/>
      <c r="W7" s="942"/>
      <c r="X7" s="942"/>
      <c r="Y7" s="942"/>
      <c r="Z7" s="942" t="s">
        <v>324</v>
      </c>
      <c r="AA7" s="942"/>
      <c r="AB7" s="942"/>
      <c r="AC7" s="942"/>
      <c r="AD7" s="942"/>
      <c r="AE7" s="942" t="s">
        <v>325</v>
      </c>
      <c r="AF7" s="942"/>
      <c r="AG7" s="942"/>
      <c r="AH7" s="942"/>
      <c r="AI7" s="942"/>
      <c r="AJ7" s="942" t="s">
        <v>326</v>
      </c>
      <c r="AK7" s="942"/>
      <c r="AL7" s="942"/>
      <c r="AM7" s="942"/>
      <c r="AN7" s="942"/>
      <c r="AO7" s="942" t="s">
        <v>327</v>
      </c>
      <c r="AP7" s="942"/>
      <c r="AQ7" s="942"/>
      <c r="AR7" s="942"/>
      <c r="AS7" s="942"/>
      <c r="AT7" s="942" t="s">
        <v>328</v>
      </c>
      <c r="AU7" s="942"/>
      <c r="AV7" s="942"/>
      <c r="AW7" s="942"/>
      <c r="AX7" s="942"/>
      <c r="AY7" s="942" t="s">
        <v>329</v>
      </c>
      <c r="AZ7" s="942"/>
      <c r="BA7" s="942"/>
      <c r="BB7" s="942"/>
      <c r="BC7" s="942"/>
      <c r="BD7" s="942" t="s">
        <v>330</v>
      </c>
      <c r="BE7" s="942"/>
      <c r="BF7" s="942"/>
      <c r="BG7" s="942"/>
      <c r="BH7" s="942"/>
      <c r="BI7" s="943" t="s">
        <v>331</v>
      </c>
      <c r="BJ7" s="944"/>
      <c r="BK7" s="944"/>
      <c r="BL7" s="944"/>
      <c r="BM7" s="944"/>
      <c r="BN7" s="945"/>
    </row>
    <row r="8" spans="1:67" ht="12.75" customHeight="1" x14ac:dyDescent="0.2">
      <c r="K8" s="942"/>
      <c r="L8" s="942"/>
      <c r="M8" s="942"/>
      <c r="N8" s="942"/>
      <c r="O8" s="942"/>
      <c r="P8" s="942"/>
      <c r="Q8" s="942"/>
      <c r="R8" s="942"/>
      <c r="S8" s="942"/>
      <c r="T8" s="942"/>
      <c r="U8" s="942"/>
      <c r="V8" s="942"/>
      <c r="W8" s="942"/>
      <c r="X8" s="942"/>
      <c r="Y8" s="942"/>
      <c r="Z8" s="942"/>
      <c r="AA8" s="942"/>
      <c r="AB8" s="942"/>
      <c r="AC8" s="942"/>
      <c r="AD8" s="942"/>
      <c r="AE8" s="942"/>
      <c r="AF8" s="942"/>
      <c r="AG8" s="942"/>
      <c r="AH8" s="942"/>
      <c r="AI8" s="942"/>
      <c r="AJ8" s="942"/>
      <c r="AK8" s="942"/>
      <c r="AL8" s="942"/>
      <c r="AM8" s="942"/>
      <c r="AN8" s="942"/>
      <c r="AO8" s="942"/>
      <c r="AP8" s="942"/>
      <c r="AQ8" s="942"/>
      <c r="AR8" s="942"/>
      <c r="AS8" s="942"/>
      <c r="AT8" s="942"/>
      <c r="AU8" s="942"/>
      <c r="AV8" s="942"/>
      <c r="AW8" s="942"/>
      <c r="AX8" s="942"/>
      <c r="AY8" s="942"/>
      <c r="AZ8" s="942"/>
      <c r="BA8" s="942"/>
      <c r="BB8" s="942"/>
      <c r="BC8" s="942"/>
      <c r="BD8" s="942"/>
      <c r="BE8" s="942"/>
      <c r="BF8" s="942"/>
      <c r="BG8" s="942"/>
      <c r="BH8" s="942"/>
      <c r="BI8" s="946"/>
      <c r="BJ8" s="947"/>
      <c r="BK8" s="947"/>
      <c r="BL8" s="947"/>
      <c r="BM8" s="947"/>
      <c r="BN8" s="948"/>
    </row>
    <row r="9" spans="1:67" ht="27" customHeight="1" x14ac:dyDescent="0.2">
      <c r="A9" s="8"/>
      <c r="B9" s="935" t="s">
        <v>332</v>
      </c>
      <c r="C9" s="935"/>
      <c r="D9" s="935"/>
      <c r="E9" s="935"/>
      <c r="F9" s="935"/>
      <c r="G9" s="935"/>
      <c r="H9" s="935"/>
      <c r="I9" s="935"/>
      <c r="J9" s="935"/>
      <c r="K9" s="889">
        <f>SUM(K10:O11)</f>
        <v>0</v>
      </c>
      <c r="L9" s="889"/>
      <c r="M9" s="889"/>
      <c r="N9" s="889"/>
      <c r="O9" s="889"/>
      <c r="P9" s="889">
        <f>SUM(P10:P11)</f>
        <v>0</v>
      </c>
      <c r="Q9" s="889"/>
      <c r="R9" s="889"/>
      <c r="S9" s="889"/>
      <c r="T9" s="889"/>
      <c r="U9" s="889">
        <f>SUM(U10:Y11)</f>
        <v>0</v>
      </c>
      <c r="V9" s="889"/>
      <c r="W9" s="889"/>
      <c r="X9" s="889"/>
      <c r="Y9" s="889"/>
      <c r="Z9" s="889">
        <f>SUM(Z10:AD11)</f>
        <v>0</v>
      </c>
      <c r="AA9" s="889"/>
      <c r="AB9" s="889"/>
      <c r="AC9" s="889"/>
      <c r="AD9" s="889"/>
      <c r="AE9" s="889">
        <f>SUM(AE10:AI11)</f>
        <v>0</v>
      </c>
      <c r="AF9" s="889"/>
      <c r="AG9" s="889"/>
      <c r="AH9" s="889"/>
      <c r="AI9" s="889"/>
      <c r="AJ9" s="889">
        <f t="shared" ref="AJ9" si="0">SUM(AJ10:AN11)</f>
        <v>0</v>
      </c>
      <c r="AK9" s="889"/>
      <c r="AL9" s="889"/>
      <c r="AM9" s="889"/>
      <c r="AN9" s="889"/>
      <c r="AO9" s="889">
        <f t="shared" ref="AO9" si="1">SUM(AO10:AS11)</f>
        <v>0</v>
      </c>
      <c r="AP9" s="889"/>
      <c r="AQ9" s="889"/>
      <c r="AR9" s="889"/>
      <c r="AS9" s="889"/>
      <c r="AT9" s="889">
        <f t="shared" ref="AT9" si="2">SUM(AT10:AX11)</f>
        <v>0</v>
      </c>
      <c r="AU9" s="889"/>
      <c r="AV9" s="889"/>
      <c r="AW9" s="889"/>
      <c r="AX9" s="889"/>
      <c r="AY9" s="889">
        <f t="shared" ref="AY9" si="3">SUM(AY10:BC11)</f>
        <v>0</v>
      </c>
      <c r="AZ9" s="889"/>
      <c r="BA9" s="889"/>
      <c r="BB9" s="889"/>
      <c r="BC9" s="889"/>
      <c r="BD9" s="889">
        <f t="shared" ref="BD9" si="4">SUM(BD10:BH11)</f>
        <v>0</v>
      </c>
      <c r="BE9" s="889"/>
      <c r="BF9" s="889"/>
      <c r="BG9" s="889"/>
      <c r="BH9" s="889"/>
      <c r="BI9" s="936">
        <f t="shared" ref="BI9:BI25" si="5">SUM(K9:BH9)</f>
        <v>0</v>
      </c>
      <c r="BJ9" s="937"/>
      <c r="BK9" s="937"/>
      <c r="BL9" s="937"/>
      <c r="BM9" s="937"/>
      <c r="BN9" s="938"/>
    </row>
    <row r="10" spans="1:67" ht="22.5" customHeight="1" x14ac:dyDescent="0.2">
      <c r="A10" s="8"/>
      <c r="B10" s="902" t="s">
        <v>333</v>
      </c>
      <c r="C10" s="902"/>
      <c r="D10" s="902"/>
      <c r="E10" s="902"/>
      <c r="F10" s="902"/>
      <c r="G10" s="902"/>
      <c r="H10" s="902"/>
      <c r="I10" s="902"/>
      <c r="J10" s="908"/>
      <c r="K10" s="885">
        <f>'Budget Details'!AD31</f>
        <v>0</v>
      </c>
      <c r="L10" s="886"/>
      <c r="M10" s="886"/>
      <c r="N10" s="886"/>
      <c r="O10" s="887"/>
      <c r="P10" s="119">
        <f>'Budget Details'!AE31</f>
        <v>0</v>
      </c>
      <c r="Q10" s="119"/>
      <c r="R10" s="119"/>
      <c r="S10" s="119"/>
      <c r="T10" s="119"/>
      <c r="U10" s="885">
        <f>'Budget Details'!AF31</f>
        <v>0</v>
      </c>
      <c r="V10" s="886"/>
      <c r="W10" s="886"/>
      <c r="X10" s="886"/>
      <c r="Y10" s="887"/>
      <c r="Z10" s="885">
        <f>'Budget Details'!AG31</f>
        <v>0</v>
      </c>
      <c r="AA10" s="886"/>
      <c r="AB10" s="886"/>
      <c r="AC10" s="886"/>
      <c r="AD10" s="887"/>
      <c r="AE10" s="885">
        <f>'Budget Details'!AH31</f>
        <v>0</v>
      </c>
      <c r="AF10" s="886"/>
      <c r="AG10" s="886"/>
      <c r="AH10" s="886"/>
      <c r="AI10" s="887"/>
      <c r="AJ10" s="885">
        <f>'Budget Details'!AI31</f>
        <v>0</v>
      </c>
      <c r="AK10" s="886"/>
      <c r="AL10" s="886"/>
      <c r="AM10" s="886"/>
      <c r="AN10" s="887"/>
      <c r="AO10" s="885">
        <f>'Budget Details'!AJ31</f>
        <v>0</v>
      </c>
      <c r="AP10" s="886"/>
      <c r="AQ10" s="886"/>
      <c r="AR10" s="886"/>
      <c r="AS10" s="887"/>
      <c r="AT10" s="885">
        <f>'Budget Details'!AK31</f>
        <v>0</v>
      </c>
      <c r="AU10" s="886"/>
      <c r="AV10" s="886"/>
      <c r="AW10" s="886"/>
      <c r="AX10" s="887"/>
      <c r="AY10" s="885">
        <f>'Budget Details'!AL31</f>
        <v>0</v>
      </c>
      <c r="AZ10" s="886"/>
      <c r="BA10" s="886"/>
      <c r="BB10" s="886"/>
      <c r="BC10" s="887"/>
      <c r="BD10" s="885">
        <f>'Budget Details'!AM31</f>
        <v>0</v>
      </c>
      <c r="BE10" s="886"/>
      <c r="BF10" s="886"/>
      <c r="BG10" s="886"/>
      <c r="BH10" s="887"/>
      <c r="BI10" s="885">
        <f t="shared" si="5"/>
        <v>0</v>
      </c>
      <c r="BJ10" s="886"/>
      <c r="BK10" s="886"/>
      <c r="BL10" s="886"/>
      <c r="BM10" s="886"/>
      <c r="BN10" s="887"/>
    </row>
    <row r="11" spans="1:67" ht="22.5" customHeight="1" x14ac:dyDescent="0.2">
      <c r="A11" s="8"/>
      <c r="B11" s="954" t="s">
        <v>334</v>
      </c>
      <c r="C11" s="954"/>
      <c r="D11" s="954"/>
      <c r="E11" s="954"/>
      <c r="F11" s="954"/>
      <c r="G11" s="954"/>
      <c r="H11" s="954"/>
      <c r="I11" s="954"/>
      <c r="J11" s="955"/>
      <c r="K11" s="890">
        <f>'Budget Details'!AD68</f>
        <v>0</v>
      </c>
      <c r="L11" s="891"/>
      <c r="M11" s="891"/>
      <c r="N11" s="891"/>
      <c r="O11" s="892"/>
      <c r="P11" s="120">
        <f>'Budget Details'!AE68</f>
        <v>0</v>
      </c>
      <c r="Q11" s="120"/>
      <c r="R11" s="120"/>
      <c r="S11" s="120"/>
      <c r="T11" s="120"/>
      <c r="U11" s="890">
        <f>'Budget Details'!AF68</f>
        <v>0</v>
      </c>
      <c r="V11" s="891"/>
      <c r="W11" s="891"/>
      <c r="X11" s="891"/>
      <c r="Y11" s="892"/>
      <c r="Z11" s="890">
        <f>'Budget Details'!AG68</f>
        <v>0</v>
      </c>
      <c r="AA11" s="891"/>
      <c r="AB11" s="891"/>
      <c r="AC11" s="891"/>
      <c r="AD11" s="892"/>
      <c r="AE11" s="890">
        <f>'Budget Details'!AH68</f>
        <v>0</v>
      </c>
      <c r="AF11" s="891"/>
      <c r="AG11" s="891"/>
      <c r="AH11" s="891"/>
      <c r="AI11" s="892"/>
      <c r="AJ11" s="890">
        <f>'Budget Details'!AI68</f>
        <v>0</v>
      </c>
      <c r="AK11" s="891"/>
      <c r="AL11" s="891"/>
      <c r="AM11" s="891"/>
      <c r="AN11" s="892"/>
      <c r="AO11" s="890">
        <f>'Budget Details'!AJ68</f>
        <v>0</v>
      </c>
      <c r="AP11" s="891"/>
      <c r="AQ11" s="891"/>
      <c r="AR11" s="891"/>
      <c r="AS11" s="892"/>
      <c r="AT11" s="890">
        <f>'Budget Details'!AK68</f>
        <v>0</v>
      </c>
      <c r="AU11" s="891"/>
      <c r="AV11" s="891"/>
      <c r="AW11" s="891"/>
      <c r="AX11" s="892"/>
      <c r="AY11" s="890">
        <f>'Budget Details'!AL68</f>
        <v>0</v>
      </c>
      <c r="AZ11" s="891"/>
      <c r="BA11" s="891"/>
      <c r="BB11" s="891"/>
      <c r="BC11" s="892"/>
      <c r="BD11" s="890">
        <f>'Budget Details'!AM68</f>
        <v>0</v>
      </c>
      <c r="BE11" s="891"/>
      <c r="BF11" s="891"/>
      <c r="BG11" s="891"/>
      <c r="BH11" s="892"/>
      <c r="BI11" s="880">
        <f t="shared" si="5"/>
        <v>0</v>
      </c>
      <c r="BJ11" s="881"/>
      <c r="BK11" s="881"/>
      <c r="BL11" s="881"/>
      <c r="BM11" s="881"/>
      <c r="BN11" s="882"/>
    </row>
    <row r="12" spans="1:67" ht="21.75" customHeight="1" x14ac:dyDescent="0.2">
      <c r="A12" s="8"/>
      <c r="B12" s="928" t="s">
        <v>335</v>
      </c>
      <c r="C12" s="928"/>
      <c r="D12" s="928"/>
      <c r="E12" s="928"/>
      <c r="F12" s="928"/>
      <c r="G12" s="928"/>
      <c r="H12" s="928"/>
      <c r="I12" s="928"/>
      <c r="J12" s="928"/>
      <c r="K12" s="929">
        <f>SUM(K13:O15)</f>
        <v>0</v>
      </c>
      <c r="L12" s="929"/>
      <c r="M12" s="929"/>
      <c r="N12" s="929"/>
      <c r="O12" s="929"/>
      <c r="P12" s="929">
        <f t="shared" ref="P12" si="6">SUM(P13:T15)</f>
        <v>0</v>
      </c>
      <c r="Q12" s="929"/>
      <c r="R12" s="929"/>
      <c r="S12" s="929"/>
      <c r="T12" s="929"/>
      <c r="U12" s="929">
        <f>SUM(U13:Y15)</f>
        <v>0</v>
      </c>
      <c r="V12" s="929"/>
      <c r="W12" s="929"/>
      <c r="X12" s="929"/>
      <c r="Y12" s="929"/>
      <c r="Z12" s="929">
        <f t="shared" ref="Z12" si="7">SUM(Z13:AD15)</f>
        <v>0</v>
      </c>
      <c r="AA12" s="929"/>
      <c r="AB12" s="929"/>
      <c r="AC12" s="929"/>
      <c r="AD12" s="929"/>
      <c r="AE12" s="929">
        <f t="shared" ref="AE12" si="8">SUM(AE13:AI15)</f>
        <v>0</v>
      </c>
      <c r="AF12" s="929"/>
      <c r="AG12" s="929"/>
      <c r="AH12" s="929"/>
      <c r="AI12" s="929"/>
      <c r="AJ12" s="929">
        <f t="shared" ref="AJ12" si="9">SUM(AJ13:AN15)</f>
        <v>0</v>
      </c>
      <c r="AK12" s="929"/>
      <c r="AL12" s="929"/>
      <c r="AM12" s="929"/>
      <c r="AN12" s="929"/>
      <c r="AO12" s="929">
        <f t="shared" ref="AO12" si="10">SUM(AO13:AS15)</f>
        <v>0</v>
      </c>
      <c r="AP12" s="929"/>
      <c r="AQ12" s="929"/>
      <c r="AR12" s="929"/>
      <c r="AS12" s="929"/>
      <c r="AT12" s="929">
        <f t="shared" ref="AT12" si="11">SUM(AT13:AX15)</f>
        <v>0</v>
      </c>
      <c r="AU12" s="929"/>
      <c r="AV12" s="929"/>
      <c r="AW12" s="929"/>
      <c r="AX12" s="929"/>
      <c r="AY12" s="929">
        <f t="shared" ref="AY12" si="12">SUM(AY13:BC15)</f>
        <v>0</v>
      </c>
      <c r="AZ12" s="929"/>
      <c r="BA12" s="929"/>
      <c r="BB12" s="929"/>
      <c r="BC12" s="929"/>
      <c r="BD12" s="929">
        <f t="shared" ref="BD12" si="13">SUM(BD13:BH15)</f>
        <v>0</v>
      </c>
      <c r="BE12" s="929"/>
      <c r="BF12" s="929"/>
      <c r="BG12" s="929"/>
      <c r="BH12" s="929"/>
      <c r="BI12" s="929">
        <f t="shared" si="5"/>
        <v>0</v>
      </c>
      <c r="BJ12" s="929"/>
      <c r="BK12" s="929"/>
      <c r="BL12" s="929"/>
      <c r="BM12" s="929"/>
      <c r="BN12" s="929"/>
    </row>
    <row r="13" spans="1:67" ht="22.5" customHeight="1" x14ac:dyDescent="0.2">
      <c r="A13" s="8"/>
      <c r="B13" s="902" t="s">
        <v>333</v>
      </c>
      <c r="C13" s="902"/>
      <c r="D13" s="902"/>
      <c r="E13" s="902"/>
      <c r="F13" s="902"/>
      <c r="G13" s="902"/>
      <c r="H13" s="902"/>
      <c r="I13" s="902"/>
      <c r="J13" s="908"/>
      <c r="K13" s="885">
        <f>'Budget Details'!AD91</f>
        <v>0</v>
      </c>
      <c r="L13" s="886"/>
      <c r="M13" s="886"/>
      <c r="N13" s="886"/>
      <c r="O13" s="887"/>
      <c r="P13" s="119">
        <f>'Budget Details'!AE91</f>
        <v>0</v>
      </c>
      <c r="Q13" s="119"/>
      <c r="R13" s="119"/>
      <c r="S13" s="119"/>
      <c r="T13" s="119"/>
      <c r="U13" s="885">
        <f>'Budget Details'!AF91</f>
        <v>0</v>
      </c>
      <c r="V13" s="886"/>
      <c r="W13" s="886"/>
      <c r="X13" s="886"/>
      <c r="Y13" s="887"/>
      <c r="Z13" s="885">
        <f>'Budget Details'!AG91</f>
        <v>0</v>
      </c>
      <c r="AA13" s="886"/>
      <c r="AB13" s="886"/>
      <c r="AC13" s="886"/>
      <c r="AD13" s="887"/>
      <c r="AE13" s="885">
        <f>'Budget Details'!AH91</f>
        <v>0</v>
      </c>
      <c r="AF13" s="886"/>
      <c r="AG13" s="886"/>
      <c r="AH13" s="886"/>
      <c r="AI13" s="887"/>
      <c r="AJ13" s="885">
        <f>'Budget Details'!AI91</f>
        <v>0</v>
      </c>
      <c r="AK13" s="886"/>
      <c r="AL13" s="886"/>
      <c r="AM13" s="886"/>
      <c r="AN13" s="887"/>
      <c r="AO13" s="885">
        <f>'Budget Details'!AJ91</f>
        <v>0</v>
      </c>
      <c r="AP13" s="886"/>
      <c r="AQ13" s="886"/>
      <c r="AR13" s="886"/>
      <c r="AS13" s="887"/>
      <c r="AT13" s="885">
        <f>'Budget Details'!AK91</f>
        <v>0</v>
      </c>
      <c r="AU13" s="886"/>
      <c r="AV13" s="886"/>
      <c r="AW13" s="886"/>
      <c r="AX13" s="887"/>
      <c r="AY13" s="885">
        <f>'Budget Details'!AL91</f>
        <v>0</v>
      </c>
      <c r="AZ13" s="886"/>
      <c r="BA13" s="886"/>
      <c r="BB13" s="886"/>
      <c r="BC13" s="887"/>
      <c r="BD13" s="885">
        <f>'Budget Details'!AM91</f>
        <v>0</v>
      </c>
      <c r="BE13" s="886"/>
      <c r="BF13" s="886"/>
      <c r="BG13" s="886"/>
      <c r="BH13" s="887"/>
      <c r="BI13" s="876">
        <f t="shared" si="5"/>
        <v>0</v>
      </c>
      <c r="BJ13" s="876"/>
      <c r="BK13" s="876"/>
      <c r="BL13" s="876"/>
      <c r="BM13" s="876"/>
      <c r="BN13" s="876"/>
    </row>
    <row r="14" spans="1:67" ht="22.5" customHeight="1" x14ac:dyDescent="0.2">
      <c r="A14" s="8"/>
      <c r="B14" s="902" t="s">
        <v>334</v>
      </c>
      <c r="C14" s="902"/>
      <c r="D14" s="902"/>
      <c r="E14" s="902"/>
      <c r="F14" s="902"/>
      <c r="G14" s="902"/>
      <c r="H14" s="902"/>
      <c r="I14" s="902"/>
      <c r="J14" s="949"/>
      <c r="K14" s="886">
        <f>'Budget Details'!AD114+'Budget Details'!AD137</f>
        <v>0</v>
      </c>
      <c r="L14" s="886"/>
      <c r="M14" s="886"/>
      <c r="N14" s="886"/>
      <c r="O14" s="886"/>
      <c r="P14" s="121">
        <f>'Budget Details'!AE114+'Budget Details'!AE137</f>
        <v>0</v>
      </c>
      <c r="Q14" s="119"/>
      <c r="R14" s="119"/>
      <c r="S14" s="119"/>
      <c r="T14" s="122"/>
      <c r="U14" s="950">
        <f>'Budget Details'!AF114+'Budget Details'!AF137</f>
        <v>0</v>
      </c>
      <c r="V14" s="886"/>
      <c r="W14" s="886"/>
      <c r="X14" s="886"/>
      <c r="Y14" s="951"/>
      <c r="Z14" s="957">
        <f>'Budget Details'!AG114+'Budget Details'!AG137</f>
        <v>0</v>
      </c>
      <c r="AA14" s="886"/>
      <c r="AB14" s="886"/>
      <c r="AC14" s="886"/>
      <c r="AD14" s="951"/>
      <c r="AE14" s="885">
        <f>'Budget Details'!AH114+'Budget Details'!AH137</f>
        <v>0</v>
      </c>
      <c r="AF14" s="886"/>
      <c r="AG14" s="886"/>
      <c r="AH14" s="886"/>
      <c r="AI14" s="887"/>
      <c r="AJ14" s="885">
        <f>'Budget Details'!AI114+'Budget Details'!AI137</f>
        <v>0</v>
      </c>
      <c r="AK14" s="886"/>
      <c r="AL14" s="886"/>
      <c r="AM14" s="886"/>
      <c r="AN14" s="887"/>
      <c r="AO14" s="885">
        <f>'Budget Details'!AJ114+'Budget Details'!AJ137</f>
        <v>0</v>
      </c>
      <c r="AP14" s="886"/>
      <c r="AQ14" s="886"/>
      <c r="AR14" s="886"/>
      <c r="AS14" s="887"/>
      <c r="AT14" s="885">
        <f>'Budget Details'!AK114+'Budget Details'!AK137</f>
        <v>0</v>
      </c>
      <c r="AU14" s="886"/>
      <c r="AV14" s="886"/>
      <c r="AW14" s="886"/>
      <c r="AX14" s="887"/>
      <c r="AY14" s="885">
        <f>'Budget Details'!AL114+'Budget Details'!AL137</f>
        <v>0</v>
      </c>
      <c r="AZ14" s="886"/>
      <c r="BA14" s="886"/>
      <c r="BB14" s="886"/>
      <c r="BC14" s="887"/>
      <c r="BD14" s="886">
        <f>'Budget Details'!AM114+'Budget Details'!AM137</f>
        <v>0</v>
      </c>
      <c r="BE14" s="886"/>
      <c r="BF14" s="886"/>
      <c r="BG14" s="886"/>
      <c r="BH14" s="886"/>
      <c r="BI14" s="952">
        <f t="shared" si="5"/>
        <v>0</v>
      </c>
      <c r="BJ14" s="876"/>
      <c r="BK14" s="876"/>
      <c r="BL14" s="876"/>
      <c r="BM14" s="876"/>
      <c r="BN14" s="953"/>
    </row>
    <row r="15" spans="1:67" ht="22.5" customHeight="1" x14ac:dyDescent="0.2">
      <c r="A15" s="8"/>
      <c r="B15" s="902" t="s">
        <v>243</v>
      </c>
      <c r="C15" s="902"/>
      <c r="D15" s="902"/>
      <c r="E15" s="902"/>
      <c r="F15" s="902"/>
      <c r="G15" s="902"/>
      <c r="H15" s="902"/>
      <c r="I15" s="902"/>
      <c r="J15" s="902"/>
      <c r="K15" s="888">
        <f>'Budget Details'!AD150</f>
        <v>0</v>
      </c>
      <c r="L15" s="888"/>
      <c r="M15" s="888"/>
      <c r="N15" s="888"/>
      <c r="O15" s="888"/>
      <c r="P15" s="888">
        <f>'Budget Details'!AE150</f>
        <v>0</v>
      </c>
      <c r="Q15" s="888"/>
      <c r="R15" s="888"/>
      <c r="S15" s="888"/>
      <c r="T15" s="888"/>
      <c r="U15" s="888">
        <f>'Budget Details'!AF150</f>
        <v>0</v>
      </c>
      <c r="V15" s="888"/>
      <c r="W15" s="888"/>
      <c r="X15" s="888"/>
      <c r="Y15" s="888"/>
      <c r="Z15" s="888">
        <f>'Budget Details'!AG150</f>
        <v>0</v>
      </c>
      <c r="AA15" s="888"/>
      <c r="AB15" s="888"/>
      <c r="AC15" s="888"/>
      <c r="AD15" s="888"/>
      <c r="AE15" s="885">
        <f>'Budget Details'!AH150</f>
        <v>0</v>
      </c>
      <c r="AF15" s="886"/>
      <c r="AG15" s="886"/>
      <c r="AH15" s="886"/>
      <c r="AI15" s="887"/>
      <c r="AJ15" s="885">
        <f>'Budget Details'!AI150</f>
        <v>0</v>
      </c>
      <c r="AK15" s="886"/>
      <c r="AL15" s="886"/>
      <c r="AM15" s="886"/>
      <c r="AN15" s="887"/>
      <c r="AO15" s="885">
        <f>'Budget Details'!AJ150</f>
        <v>0</v>
      </c>
      <c r="AP15" s="886"/>
      <c r="AQ15" s="886"/>
      <c r="AR15" s="886"/>
      <c r="AS15" s="887"/>
      <c r="AT15" s="885">
        <f>'Budget Details'!AK150</f>
        <v>0</v>
      </c>
      <c r="AU15" s="886"/>
      <c r="AV15" s="886"/>
      <c r="AW15" s="886"/>
      <c r="AX15" s="887"/>
      <c r="AY15" s="885">
        <f>'Budget Details'!AL150</f>
        <v>0</v>
      </c>
      <c r="AZ15" s="886"/>
      <c r="BA15" s="886"/>
      <c r="BB15" s="886"/>
      <c r="BC15" s="887"/>
      <c r="BD15" s="888">
        <f>'Budget Details'!AM150</f>
        <v>0</v>
      </c>
      <c r="BE15" s="888"/>
      <c r="BF15" s="888"/>
      <c r="BG15" s="888"/>
      <c r="BH15" s="888"/>
      <c r="BI15" s="888">
        <f t="shared" si="5"/>
        <v>0</v>
      </c>
      <c r="BJ15" s="888"/>
      <c r="BK15" s="888"/>
      <c r="BL15" s="888"/>
      <c r="BM15" s="888"/>
      <c r="BN15" s="888"/>
    </row>
    <row r="16" spans="1:67" ht="24" customHeight="1" x14ac:dyDescent="0.2">
      <c r="A16" s="8"/>
      <c r="B16" s="934" t="s">
        <v>257</v>
      </c>
      <c r="C16" s="934"/>
      <c r="D16" s="934"/>
      <c r="E16" s="934"/>
      <c r="F16" s="934"/>
      <c r="G16" s="934"/>
      <c r="H16" s="934"/>
      <c r="I16" s="934"/>
      <c r="J16" s="934"/>
      <c r="K16" s="883">
        <f>'Budget Details'!AD159</f>
        <v>0</v>
      </c>
      <c r="L16" s="883"/>
      <c r="M16" s="883"/>
      <c r="N16" s="883"/>
      <c r="O16" s="883"/>
      <c r="P16" s="883">
        <f>'Budget Details'!AE159</f>
        <v>0</v>
      </c>
      <c r="Q16" s="883"/>
      <c r="R16" s="883"/>
      <c r="S16" s="883"/>
      <c r="T16" s="883"/>
      <c r="U16" s="883">
        <f>'Budget Details'!AF159</f>
        <v>0</v>
      </c>
      <c r="V16" s="883"/>
      <c r="W16" s="883"/>
      <c r="X16" s="883"/>
      <c r="Y16" s="883"/>
      <c r="Z16" s="883">
        <f>'Budget Details'!AG159</f>
        <v>0</v>
      </c>
      <c r="AA16" s="883"/>
      <c r="AB16" s="883"/>
      <c r="AC16" s="883"/>
      <c r="AD16" s="883"/>
      <c r="AE16" s="883">
        <f>'Budget Details'!AH159</f>
        <v>0</v>
      </c>
      <c r="AF16" s="883"/>
      <c r="AG16" s="883"/>
      <c r="AH16" s="883"/>
      <c r="AI16" s="883"/>
      <c r="AJ16" s="883">
        <f>'Budget Details'!AI159</f>
        <v>0</v>
      </c>
      <c r="AK16" s="883"/>
      <c r="AL16" s="883"/>
      <c r="AM16" s="883"/>
      <c r="AN16" s="883"/>
      <c r="AO16" s="883">
        <f>'Budget Details'!AJ159</f>
        <v>0</v>
      </c>
      <c r="AP16" s="883"/>
      <c r="AQ16" s="883"/>
      <c r="AR16" s="883"/>
      <c r="AS16" s="883"/>
      <c r="AT16" s="883">
        <f>'Budget Details'!AK159</f>
        <v>0</v>
      </c>
      <c r="AU16" s="883"/>
      <c r="AV16" s="883"/>
      <c r="AW16" s="883"/>
      <c r="AX16" s="883"/>
      <c r="AY16" s="883">
        <f>'Budget Details'!AL159</f>
        <v>0</v>
      </c>
      <c r="AZ16" s="883"/>
      <c r="BA16" s="883"/>
      <c r="BB16" s="883"/>
      <c r="BC16" s="883"/>
      <c r="BD16" s="883">
        <f>'Budget Details'!AM159</f>
        <v>0</v>
      </c>
      <c r="BE16" s="883"/>
      <c r="BF16" s="883"/>
      <c r="BG16" s="883"/>
      <c r="BH16" s="883"/>
      <c r="BI16" s="883">
        <f t="shared" si="5"/>
        <v>0</v>
      </c>
      <c r="BJ16" s="883"/>
      <c r="BK16" s="883"/>
      <c r="BL16" s="883"/>
      <c r="BM16" s="883"/>
      <c r="BN16" s="883"/>
    </row>
    <row r="17" spans="1:66" ht="24" customHeight="1" x14ac:dyDescent="0.2">
      <c r="A17" s="8"/>
      <c r="B17" s="928" t="s">
        <v>262</v>
      </c>
      <c r="C17" s="928"/>
      <c r="D17" s="928"/>
      <c r="E17" s="928"/>
      <c r="F17" s="928"/>
      <c r="G17" s="928"/>
      <c r="H17" s="928"/>
      <c r="I17" s="928"/>
      <c r="J17" s="928"/>
      <c r="K17" s="929">
        <f>SUM(K18:O19)</f>
        <v>0</v>
      </c>
      <c r="L17" s="929"/>
      <c r="M17" s="929"/>
      <c r="N17" s="929"/>
      <c r="O17" s="929"/>
      <c r="P17" s="884">
        <f t="shared" ref="P17" si="14">SUM(P18:T19)</f>
        <v>0</v>
      </c>
      <c r="Q17" s="883"/>
      <c r="R17" s="883"/>
      <c r="S17" s="883"/>
      <c r="T17" s="883"/>
      <c r="U17" s="929">
        <f t="shared" ref="U17" si="15">SUM(U18:Y19)</f>
        <v>0</v>
      </c>
      <c r="V17" s="929"/>
      <c r="W17" s="929"/>
      <c r="X17" s="929"/>
      <c r="Y17" s="929"/>
      <c r="Z17" s="929">
        <f t="shared" ref="Z17" si="16">SUM(Z18:AD19)</f>
        <v>0</v>
      </c>
      <c r="AA17" s="929"/>
      <c r="AB17" s="929"/>
      <c r="AC17" s="929"/>
      <c r="AD17" s="929"/>
      <c r="AE17" s="929">
        <f t="shared" ref="AE17" si="17">SUM(AE18:AI19)</f>
        <v>0</v>
      </c>
      <c r="AF17" s="929"/>
      <c r="AG17" s="929"/>
      <c r="AH17" s="929"/>
      <c r="AI17" s="929"/>
      <c r="AJ17" s="929">
        <f t="shared" ref="AJ17" si="18">SUM(AJ18:AN19)</f>
        <v>0</v>
      </c>
      <c r="AK17" s="929"/>
      <c r="AL17" s="929"/>
      <c r="AM17" s="929"/>
      <c r="AN17" s="929"/>
      <c r="AO17" s="929">
        <f t="shared" ref="AO17" si="19">SUM(AO18:AS19)</f>
        <v>0</v>
      </c>
      <c r="AP17" s="929"/>
      <c r="AQ17" s="929"/>
      <c r="AR17" s="929"/>
      <c r="AS17" s="929"/>
      <c r="AT17" s="929">
        <f t="shared" ref="AT17" si="20">SUM(AT18:AX19)</f>
        <v>0</v>
      </c>
      <c r="AU17" s="929"/>
      <c r="AV17" s="929"/>
      <c r="AW17" s="929"/>
      <c r="AX17" s="929"/>
      <c r="AY17" s="929">
        <f t="shared" ref="AY17" si="21">SUM(AY18:BC19)</f>
        <v>0</v>
      </c>
      <c r="AZ17" s="929"/>
      <c r="BA17" s="929"/>
      <c r="BB17" s="929"/>
      <c r="BC17" s="929"/>
      <c r="BD17" s="929">
        <f t="shared" ref="BD17" si="22">SUM(BD18:BH19)</f>
        <v>0</v>
      </c>
      <c r="BE17" s="929"/>
      <c r="BF17" s="929"/>
      <c r="BG17" s="929"/>
      <c r="BH17" s="929"/>
      <c r="BI17" s="884">
        <f t="shared" si="5"/>
        <v>0</v>
      </c>
      <c r="BJ17" s="884"/>
      <c r="BK17" s="884"/>
      <c r="BL17" s="884"/>
      <c r="BM17" s="884"/>
      <c r="BN17" s="884"/>
    </row>
    <row r="18" spans="1:66" ht="22.5" customHeight="1" x14ac:dyDescent="0.2">
      <c r="A18" s="8"/>
      <c r="B18" s="902" t="s">
        <v>336</v>
      </c>
      <c r="C18" s="902"/>
      <c r="D18" s="902"/>
      <c r="E18" s="902"/>
      <c r="F18" s="902"/>
      <c r="G18" s="902"/>
      <c r="H18" s="902"/>
      <c r="I18" s="902"/>
      <c r="J18" s="908"/>
      <c r="K18" s="931">
        <f>SUM('Budget Details'!AD162:AD164)</f>
        <v>0</v>
      </c>
      <c r="L18" s="932"/>
      <c r="M18" s="932"/>
      <c r="N18" s="932"/>
      <c r="O18" s="933"/>
      <c r="P18" s="119">
        <f>SUM('Budget Details'!AE162:AE164)</f>
        <v>0</v>
      </c>
      <c r="Q18" s="123"/>
      <c r="R18" s="123"/>
      <c r="S18" s="123"/>
      <c r="T18" s="123"/>
      <c r="U18" s="931">
        <f>SUM('Budget Details'!AF162:AF164)</f>
        <v>0</v>
      </c>
      <c r="V18" s="932"/>
      <c r="W18" s="932"/>
      <c r="X18" s="932"/>
      <c r="Y18" s="933"/>
      <c r="Z18" s="931">
        <f>SUM('Budget Details'!AG162:AG164)</f>
        <v>0</v>
      </c>
      <c r="AA18" s="932"/>
      <c r="AB18" s="932"/>
      <c r="AC18" s="932"/>
      <c r="AD18" s="933"/>
      <c r="AE18" s="931">
        <f>SUM('Budget Details'!AH162:AH164)</f>
        <v>0</v>
      </c>
      <c r="AF18" s="932"/>
      <c r="AG18" s="932"/>
      <c r="AH18" s="932"/>
      <c r="AI18" s="933"/>
      <c r="AJ18" s="931">
        <f>SUM('Budget Details'!AI162:AI164)</f>
        <v>0</v>
      </c>
      <c r="AK18" s="932"/>
      <c r="AL18" s="932"/>
      <c r="AM18" s="932"/>
      <c r="AN18" s="933"/>
      <c r="AO18" s="931">
        <f>SUM('Budget Details'!AJ162:AJ164)</f>
        <v>0</v>
      </c>
      <c r="AP18" s="932"/>
      <c r="AQ18" s="932"/>
      <c r="AR18" s="932"/>
      <c r="AS18" s="933"/>
      <c r="AT18" s="931">
        <f>SUM('Budget Details'!AK162:AK164)</f>
        <v>0</v>
      </c>
      <c r="AU18" s="932"/>
      <c r="AV18" s="932"/>
      <c r="AW18" s="932"/>
      <c r="AX18" s="933"/>
      <c r="AY18" s="931">
        <f>SUM('Budget Details'!AL162:AL164)</f>
        <v>0</v>
      </c>
      <c r="AZ18" s="932"/>
      <c r="BA18" s="932"/>
      <c r="BB18" s="932"/>
      <c r="BC18" s="933"/>
      <c r="BD18" s="931">
        <f>SUM('Budget Details'!AM162:AM164)</f>
        <v>0</v>
      </c>
      <c r="BE18" s="932"/>
      <c r="BF18" s="932"/>
      <c r="BG18" s="932"/>
      <c r="BH18" s="933"/>
      <c r="BI18" s="876">
        <f t="shared" si="5"/>
        <v>0</v>
      </c>
      <c r="BJ18" s="876"/>
      <c r="BK18" s="876"/>
      <c r="BL18" s="876"/>
      <c r="BM18" s="876"/>
      <c r="BN18" s="876"/>
    </row>
    <row r="19" spans="1:66" ht="22.5" customHeight="1" x14ac:dyDescent="0.2">
      <c r="A19" s="8"/>
      <c r="B19" s="902" t="s">
        <v>337</v>
      </c>
      <c r="C19" s="902"/>
      <c r="D19" s="902"/>
      <c r="E19" s="902"/>
      <c r="F19" s="902"/>
      <c r="G19" s="902"/>
      <c r="H19" s="902"/>
      <c r="I19" s="902"/>
      <c r="J19" s="908"/>
      <c r="K19" s="880">
        <f>SUM('Budget Details'!AD165:AD167)</f>
        <v>0</v>
      </c>
      <c r="L19" s="881"/>
      <c r="M19" s="881"/>
      <c r="N19" s="881"/>
      <c r="O19" s="882"/>
      <c r="P19" s="120">
        <f>SUM('Budget Details'!AE165:AE167)</f>
        <v>0</v>
      </c>
      <c r="Q19" s="123"/>
      <c r="R19" s="123"/>
      <c r="S19" s="123"/>
      <c r="T19" s="123"/>
      <c r="U19" s="880">
        <f>SUM('Budget Details'!AF165:AF167)</f>
        <v>0</v>
      </c>
      <c r="V19" s="881"/>
      <c r="W19" s="881"/>
      <c r="X19" s="881"/>
      <c r="Y19" s="882"/>
      <c r="Z19" s="880">
        <f>SUM('Budget Details'!AG165:AG167)</f>
        <v>0</v>
      </c>
      <c r="AA19" s="881"/>
      <c r="AB19" s="881"/>
      <c r="AC19" s="881"/>
      <c r="AD19" s="882"/>
      <c r="AE19" s="880">
        <f>SUM('Budget Details'!AH165:AH167)</f>
        <v>0</v>
      </c>
      <c r="AF19" s="881"/>
      <c r="AG19" s="881"/>
      <c r="AH19" s="881"/>
      <c r="AI19" s="882"/>
      <c r="AJ19" s="880">
        <f>SUM('Budget Details'!AI165:AI167)</f>
        <v>0</v>
      </c>
      <c r="AK19" s="881"/>
      <c r="AL19" s="881"/>
      <c r="AM19" s="881"/>
      <c r="AN19" s="882"/>
      <c r="AO19" s="880">
        <f>SUM('Budget Details'!AJ165:AJ167)</f>
        <v>0</v>
      </c>
      <c r="AP19" s="881"/>
      <c r="AQ19" s="881"/>
      <c r="AR19" s="881"/>
      <c r="AS19" s="882"/>
      <c r="AT19" s="880">
        <f>SUM('Budget Details'!AK165:AK167)</f>
        <v>0</v>
      </c>
      <c r="AU19" s="881"/>
      <c r="AV19" s="881"/>
      <c r="AW19" s="881"/>
      <c r="AX19" s="882"/>
      <c r="AY19" s="880">
        <f>SUM('Budget Details'!AL165:AL167)</f>
        <v>0</v>
      </c>
      <c r="AZ19" s="881"/>
      <c r="BA19" s="881"/>
      <c r="BB19" s="881"/>
      <c r="BC19" s="882"/>
      <c r="BD19" s="880">
        <f>SUM('Budget Details'!AM165:AM167)</f>
        <v>0</v>
      </c>
      <c r="BE19" s="881"/>
      <c r="BF19" s="881"/>
      <c r="BG19" s="881"/>
      <c r="BH19" s="882"/>
      <c r="BI19" s="888">
        <f t="shared" si="5"/>
        <v>0</v>
      </c>
      <c r="BJ19" s="888"/>
      <c r="BK19" s="888"/>
      <c r="BL19" s="888"/>
      <c r="BM19" s="888"/>
      <c r="BN19" s="888"/>
    </row>
    <row r="20" spans="1:66" ht="24.75" customHeight="1" x14ac:dyDescent="0.2">
      <c r="A20" s="8"/>
      <c r="B20" s="934" t="s">
        <v>338</v>
      </c>
      <c r="C20" s="934"/>
      <c r="D20" s="934"/>
      <c r="E20" s="934"/>
      <c r="F20" s="934"/>
      <c r="G20" s="934"/>
      <c r="H20" s="934"/>
      <c r="I20" s="934"/>
      <c r="J20" s="934"/>
      <c r="K20" s="883">
        <f>'Budget Details'!AD176</f>
        <v>0</v>
      </c>
      <c r="L20" s="883"/>
      <c r="M20" s="883"/>
      <c r="N20" s="883"/>
      <c r="O20" s="883"/>
      <c r="P20" s="883">
        <f>'Budget Details'!AE176</f>
        <v>0</v>
      </c>
      <c r="Q20" s="883"/>
      <c r="R20" s="883"/>
      <c r="S20" s="883"/>
      <c r="T20" s="883"/>
      <c r="U20" s="883">
        <f>'Budget Details'!AF176</f>
        <v>0</v>
      </c>
      <c r="V20" s="883"/>
      <c r="W20" s="883"/>
      <c r="X20" s="883"/>
      <c r="Y20" s="883"/>
      <c r="Z20" s="883">
        <f>'Budget Details'!AG176</f>
        <v>0</v>
      </c>
      <c r="AA20" s="883"/>
      <c r="AB20" s="883"/>
      <c r="AC20" s="883"/>
      <c r="AD20" s="883"/>
      <c r="AE20" s="883">
        <f>'Budget Details'!AH176</f>
        <v>0</v>
      </c>
      <c r="AF20" s="883"/>
      <c r="AG20" s="883"/>
      <c r="AH20" s="883"/>
      <c r="AI20" s="883"/>
      <c r="AJ20" s="883">
        <f>'Budget Details'!AI176</f>
        <v>0</v>
      </c>
      <c r="AK20" s="883"/>
      <c r="AL20" s="883"/>
      <c r="AM20" s="883"/>
      <c r="AN20" s="883"/>
      <c r="AO20" s="883">
        <f>'Budget Details'!AJ176</f>
        <v>0</v>
      </c>
      <c r="AP20" s="883"/>
      <c r="AQ20" s="883"/>
      <c r="AR20" s="883"/>
      <c r="AS20" s="883"/>
      <c r="AT20" s="883">
        <f>'Budget Details'!AK176</f>
        <v>0</v>
      </c>
      <c r="AU20" s="883"/>
      <c r="AV20" s="883"/>
      <c r="AW20" s="883"/>
      <c r="AX20" s="883"/>
      <c r="AY20" s="883">
        <f>'Budget Details'!AL176</f>
        <v>0</v>
      </c>
      <c r="AZ20" s="883"/>
      <c r="BA20" s="883"/>
      <c r="BB20" s="883"/>
      <c r="BC20" s="883"/>
      <c r="BD20" s="883">
        <f>'Budget Details'!AM176</f>
        <v>0</v>
      </c>
      <c r="BE20" s="883"/>
      <c r="BF20" s="883"/>
      <c r="BG20" s="883"/>
      <c r="BH20" s="883"/>
      <c r="BI20" s="883">
        <f t="shared" si="5"/>
        <v>0</v>
      </c>
      <c r="BJ20" s="883"/>
      <c r="BK20" s="883"/>
      <c r="BL20" s="883"/>
      <c r="BM20" s="883"/>
      <c r="BN20" s="883"/>
    </row>
    <row r="21" spans="1:66" ht="24.75" customHeight="1" x14ac:dyDescent="0.2">
      <c r="A21" s="8"/>
      <c r="B21" s="930" t="s">
        <v>293</v>
      </c>
      <c r="C21" s="930"/>
      <c r="D21" s="930"/>
      <c r="E21" s="930"/>
      <c r="F21" s="930"/>
      <c r="G21" s="930"/>
      <c r="H21" s="930"/>
      <c r="I21" s="930"/>
      <c r="J21" s="930"/>
      <c r="K21" s="884">
        <f>SUM(K22:O24)</f>
        <v>0</v>
      </c>
      <c r="L21" s="884"/>
      <c r="M21" s="884"/>
      <c r="N21" s="884"/>
      <c r="O21" s="884"/>
      <c r="P21" s="929">
        <f>SUM(P22:T24)</f>
        <v>0</v>
      </c>
      <c r="Q21" s="929"/>
      <c r="R21" s="929"/>
      <c r="S21" s="929"/>
      <c r="T21" s="929"/>
      <c r="U21" s="884">
        <f>SUM(U22:Y24)</f>
        <v>0</v>
      </c>
      <c r="V21" s="884"/>
      <c r="W21" s="884"/>
      <c r="X21" s="884"/>
      <c r="Y21" s="884"/>
      <c r="Z21" s="884">
        <f>SUM(Z22:AD24)</f>
        <v>0</v>
      </c>
      <c r="AA21" s="884"/>
      <c r="AB21" s="884"/>
      <c r="AC21" s="884"/>
      <c r="AD21" s="884"/>
      <c r="AE21" s="884">
        <f>SUM(AE22:AI24)</f>
        <v>0</v>
      </c>
      <c r="AF21" s="884"/>
      <c r="AG21" s="884"/>
      <c r="AH21" s="884"/>
      <c r="AI21" s="884"/>
      <c r="AJ21" s="884">
        <f t="shared" ref="AJ21" si="23">SUM(AJ22:AN24)</f>
        <v>0</v>
      </c>
      <c r="AK21" s="884"/>
      <c r="AL21" s="884"/>
      <c r="AM21" s="884"/>
      <c r="AN21" s="884"/>
      <c r="AO21" s="884">
        <f t="shared" ref="AO21" si="24">SUM(AO22:AS24)</f>
        <v>0</v>
      </c>
      <c r="AP21" s="884"/>
      <c r="AQ21" s="884"/>
      <c r="AR21" s="884"/>
      <c r="AS21" s="884"/>
      <c r="AT21" s="884">
        <f t="shared" ref="AT21" si="25">SUM(AT22:AX24)</f>
        <v>0</v>
      </c>
      <c r="AU21" s="884"/>
      <c r="AV21" s="884"/>
      <c r="AW21" s="884"/>
      <c r="AX21" s="884"/>
      <c r="AY21" s="884">
        <f t="shared" ref="AY21" si="26">SUM(AY22:BC24)</f>
        <v>0</v>
      </c>
      <c r="AZ21" s="884"/>
      <c r="BA21" s="884"/>
      <c r="BB21" s="884"/>
      <c r="BC21" s="884"/>
      <c r="BD21" s="884">
        <f t="shared" ref="BD21" si="27">SUM(BD22:BH24)</f>
        <v>0</v>
      </c>
      <c r="BE21" s="884"/>
      <c r="BF21" s="884"/>
      <c r="BG21" s="884"/>
      <c r="BH21" s="884"/>
      <c r="BI21" s="884">
        <f t="shared" si="5"/>
        <v>0</v>
      </c>
      <c r="BJ21" s="884"/>
      <c r="BK21" s="884"/>
      <c r="BL21" s="884"/>
      <c r="BM21" s="884"/>
      <c r="BN21" s="884"/>
    </row>
    <row r="22" spans="1:66" ht="22.5" customHeight="1" x14ac:dyDescent="0.2">
      <c r="A22" s="8"/>
      <c r="B22" s="904" t="s">
        <v>339</v>
      </c>
      <c r="C22" s="905"/>
      <c r="D22" s="905"/>
      <c r="E22" s="905"/>
      <c r="F22" s="905"/>
      <c r="G22" s="905"/>
      <c r="H22" s="905"/>
      <c r="I22" s="905"/>
      <c r="J22" s="906"/>
      <c r="K22" s="875">
        <f>SUM('Budget Details'!AD179:AD183)</f>
        <v>0</v>
      </c>
      <c r="L22" s="875"/>
      <c r="M22" s="875"/>
      <c r="N22" s="875"/>
      <c r="O22" s="875"/>
      <c r="P22" s="907">
        <f>SUM('Budget Details'!AE179:AE183)</f>
        <v>0</v>
      </c>
      <c r="Q22" s="907"/>
      <c r="R22" s="907"/>
      <c r="S22" s="907"/>
      <c r="T22" s="907"/>
      <c r="U22" s="875">
        <f>SUM('Budget Details'!AF179:AF183)</f>
        <v>0</v>
      </c>
      <c r="V22" s="875"/>
      <c r="W22" s="875"/>
      <c r="X22" s="875"/>
      <c r="Y22" s="875"/>
      <c r="Z22" s="875">
        <f>SUM('Budget Details'!AG179:AG183)</f>
        <v>0</v>
      </c>
      <c r="AA22" s="875"/>
      <c r="AB22" s="875"/>
      <c r="AC22" s="875"/>
      <c r="AD22" s="875"/>
      <c r="AE22" s="875">
        <f>SUM('Budget Details'!AH179:AH183)</f>
        <v>0</v>
      </c>
      <c r="AF22" s="875"/>
      <c r="AG22" s="875"/>
      <c r="AH22" s="875"/>
      <c r="AI22" s="875"/>
      <c r="AJ22" s="875">
        <f>SUM('Budget Details'!AI179:AI183)</f>
        <v>0</v>
      </c>
      <c r="AK22" s="875"/>
      <c r="AL22" s="875"/>
      <c r="AM22" s="875"/>
      <c r="AN22" s="875"/>
      <c r="AO22" s="875">
        <f>SUM('Budget Details'!AJ179:AJ183)</f>
        <v>0</v>
      </c>
      <c r="AP22" s="875"/>
      <c r="AQ22" s="875"/>
      <c r="AR22" s="875"/>
      <c r="AS22" s="875"/>
      <c r="AT22" s="875">
        <f>SUM('Budget Details'!AK179:AK183)</f>
        <v>0</v>
      </c>
      <c r="AU22" s="875"/>
      <c r="AV22" s="875"/>
      <c r="AW22" s="875"/>
      <c r="AX22" s="875"/>
      <c r="AY22" s="875">
        <f>SUM('Budget Details'!AL179:AL183)</f>
        <v>0</v>
      </c>
      <c r="AZ22" s="875"/>
      <c r="BA22" s="875"/>
      <c r="BB22" s="875"/>
      <c r="BC22" s="875"/>
      <c r="BD22" s="875">
        <f>SUM('Budget Details'!AM179:AM183)</f>
        <v>0</v>
      </c>
      <c r="BE22" s="875"/>
      <c r="BF22" s="875"/>
      <c r="BG22" s="875"/>
      <c r="BH22" s="875"/>
      <c r="BI22" s="875">
        <f t="shared" si="5"/>
        <v>0</v>
      </c>
      <c r="BJ22" s="875"/>
      <c r="BK22" s="875"/>
      <c r="BL22" s="875"/>
      <c r="BM22" s="875"/>
      <c r="BN22" s="875"/>
    </row>
    <row r="23" spans="1:66" ht="22.5" customHeight="1" x14ac:dyDescent="0.2">
      <c r="A23" s="8"/>
      <c r="B23" s="902" t="s">
        <v>340</v>
      </c>
      <c r="C23" s="902"/>
      <c r="D23" s="902"/>
      <c r="E23" s="902"/>
      <c r="F23" s="902"/>
      <c r="G23" s="902"/>
      <c r="H23" s="902"/>
      <c r="I23" s="902"/>
      <c r="J23" s="902"/>
      <c r="K23" s="876">
        <f>'Budget Details'!AD184</f>
        <v>0</v>
      </c>
      <c r="L23" s="876"/>
      <c r="M23" s="876"/>
      <c r="N23" s="876"/>
      <c r="O23" s="876"/>
      <c r="P23" s="903">
        <f>'Budget Details'!AE184</f>
        <v>0</v>
      </c>
      <c r="Q23" s="903"/>
      <c r="R23" s="903"/>
      <c r="S23" s="903"/>
      <c r="T23" s="903"/>
      <c r="U23" s="876">
        <f>'Budget Details'!AF184</f>
        <v>0</v>
      </c>
      <c r="V23" s="876"/>
      <c r="W23" s="876"/>
      <c r="X23" s="876"/>
      <c r="Y23" s="876"/>
      <c r="Z23" s="876">
        <f>'Budget Details'!AG184</f>
        <v>0</v>
      </c>
      <c r="AA23" s="876"/>
      <c r="AB23" s="876"/>
      <c r="AC23" s="876"/>
      <c r="AD23" s="876"/>
      <c r="AE23" s="876">
        <f>'Budget Details'!AH184</f>
        <v>0</v>
      </c>
      <c r="AF23" s="876"/>
      <c r="AG23" s="876"/>
      <c r="AH23" s="876"/>
      <c r="AI23" s="876"/>
      <c r="AJ23" s="876">
        <f>'Budget Details'!AI184</f>
        <v>0</v>
      </c>
      <c r="AK23" s="876"/>
      <c r="AL23" s="876"/>
      <c r="AM23" s="876"/>
      <c r="AN23" s="876"/>
      <c r="AO23" s="876">
        <f>'Budget Details'!AJ184</f>
        <v>0</v>
      </c>
      <c r="AP23" s="876"/>
      <c r="AQ23" s="876"/>
      <c r="AR23" s="876"/>
      <c r="AS23" s="876"/>
      <c r="AT23" s="876">
        <f>'Budget Details'!AK184</f>
        <v>0</v>
      </c>
      <c r="AU23" s="876"/>
      <c r="AV23" s="876"/>
      <c r="AW23" s="876"/>
      <c r="AX23" s="876"/>
      <c r="AY23" s="876">
        <f>'Budget Details'!AL184</f>
        <v>0</v>
      </c>
      <c r="AZ23" s="876"/>
      <c r="BA23" s="876"/>
      <c r="BB23" s="876"/>
      <c r="BC23" s="876"/>
      <c r="BD23" s="876">
        <f>'Budget Details'!AM184</f>
        <v>0</v>
      </c>
      <c r="BE23" s="876"/>
      <c r="BF23" s="876"/>
      <c r="BG23" s="876"/>
      <c r="BH23" s="876"/>
      <c r="BI23" s="876">
        <f t="shared" si="5"/>
        <v>0</v>
      </c>
      <c r="BJ23" s="876"/>
      <c r="BK23" s="876"/>
      <c r="BL23" s="876"/>
      <c r="BM23" s="876"/>
      <c r="BN23" s="876"/>
    </row>
    <row r="24" spans="1:66" ht="22.5" customHeight="1" x14ac:dyDescent="0.2">
      <c r="A24" s="8"/>
      <c r="B24" s="902" t="s">
        <v>341</v>
      </c>
      <c r="C24" s="902"/>
      <c r="D24" s="902"/>
      <c r="E24" s="902"/>
      <c r="F24" s="902"/>
      <c r="G24" s="902"/>
      <c r="H24" s="902"/>
      <c r="I24" s="902"/>
      <c r="J24" s="908"/>
      <c r="K24" s="877">
        <f>SUM('Budget Details'!AD185:AD194)</f>
        <v>0</v>
      </c>
      <c r="L24" s="878"/>
      <c r="M24" s="878"/>
      <c r="N24" s="878"/>
      <c r="O24" s="879"/>
      <c r="P24" s="124">
        <f>SUM('Budget Details'!AE185:AE194)</f>
        <v>0</v>
      </c>
      <c r="Q24" s="124"/>
      <c r="R24" s="124"/>
      <c r="S24" s="124"/>
      <c r="T24" s="124"/>
      <c r="U24" s="877">
        <f>SUM('Budget Details'!AF185:AF194)</f>
        <v>0</v>
      </c>
      <c r="V24" s="878"/>
      <c r="W24" s="878"/>
      <c r="X24" s="878"/>
      <c r="Y24" s="879"/>
      <c r="Z24" s="877">
        <f>SUM('Budget Details'!AG185:AG194)</f>
        <v>0</v>
      </c>
      <c r="AA24" s="878"/>
      <c r="AB24" s="878"/>
      <c r="AC24" s="878"/>
      <c r="AD24" s="879"/>
      <c r="AE24" s="877">
        <f>SUM('Budget Details'!AH185:AH194)</f>
        <v>0</v>
      </c>
      <c r="AF24" s="878"/>
      <c r="AG24" s="878"/>
      <c r="AH24" s="878"/>
      <c r="AI24" s="879"/>
      <c r="AJ24" s="877">
        <f>SUM('Budget Details'!AI185:AI194)</f>
        <v>0</v>
      </c>
      <c r="AK24" s="878"/>
      <c r="AL24" s="878"/>
      <c r="AM24" s="878"/>
      <c r="AN24" s="879"/>
      <c r="AO24" s="877">
        <f>SUM('Budget Details'!AJ185:AJ194)</f>
        <v>0</v>
      </c>
      <c r="AP24" s="878"/>
      <c r="AQ24" s="878"/>
      <c r="AR24" s="878"/>
      <c r="AS24" s="879"/>
      <c r="AT24" s="877">
        <f>SUM('Budget Details'!AK185:AK194)</f>
        <v>0</v>
      </c>
      <c r="AU24" s="878"/>
      <c r="AV24" s="878"/>
      <c r="AW24" s="878"/>
      <c r="AX24" s="879"/>
      <c r="AY24" s="877">
        <f>SUM('Budget Details'!AL185:AL194)</f>
        <v>0</v>
      </c>
      <c r="AZ24" s="878"/>
      <c r="BA24" s="878"/>
      <c r="BB24" s="878"/>
      <c r="BC24" s="879"/>
      <c r="BD24" s="877">
        <f>SUM('Budget Details'!AM185:AM194)</f>
        <v>0</v>
      </c>
      <c r="BE24" s="878"/>
      <c r="BF24" s="878"/>
      <c r="BG24" s="878"/>
      <c r="BH24" s="879"/>
      <c r="BI24" s="877">
        <f t="shared" si="5"/>
        <v>0</v>
      </c>
      <c r="BJ24" s="878"/>
      <c r="BK24" s="878"/>
      <c r="BL24" s="878"/>
      <c r="BM24" s="878"/>
      <c r="BN24" s="879"/>
    </row>
    <row r="25" spans="1:66" ht="21.75" customHeight="1" x14ac:dyDescent="0.2">
      <c r="A25" s="8"/>
      <c r="B25" s="900" t="s">
        <v>342</v>
      </c>
      <c r="C25" s="900"/>
      <c r="D25" s="900"/>
      <c r="E25" s="900"/>
      <c r="F25" s="900"/>
      <c r="G25" s="900"/>
      <c r="H25" s="900"/>
      <c r="I25" s="900"/>
      <c r="J25" s="901"/>
      <c r="K25" s="872">
        <f>'Budget Details'!AD207</f>
        <v>0</v>
      </c>
      <c r="L25" s="872"/>
      <c r="M25" s="872"/>
      <c r="N25" s="872"/>
      <c r="O25" s="872"/>
      <c r="P25" s="872">
        <f>'Budget Details'!AE207</f>
        <v>0</v>
      </c>
      <c r="Q25" s="872"/>
      <c r="R25" s="872"/>
      <c r="S25" s="872"/>
      <c r="T25" s="872"/>
      <c r="U25" s="872">
        <f>'Budget Details'!AF207</f>
        <v>0</v>
      </c>
      <c r="V25" s="872"/>
      <c r="W25" s="872"/>
      <c r="X25" s="872"/>
      <c r="Y25" s="872"/>
      <c r="Z25" s="872">
        <f>'Budget Details'!AG207</f>
        <v>0</v>
      </c>
      <c r="AA25" s="872"/>
      <c r="AB25" s="872"/>
      <c r="AC25" s="872"/>
      <c r="AD25" s="872"/>
      <c r="AE25" s="872">
        <f>'Budget Details'!AH207</f>
        <v>0</v>
      </c>
      <c r="AF25" s="872"/>
      <c r="AG25" s="872"/>
      <c r="AH25" s="872"/>
      <c r="AI25" s="872"/>
      <c r="AJ25" s="872">
        <f>'Budget Details'!AI207</f>
        <v>0</v>
      </c>
      <c r="AK25" s="872"/>
      <c r="AL25" s="872"/>
      <c r="AM25" s="872"/>
      <c r="AN25" s="872"/>
      <c r="AO25" s="872">
        <f>'Budget Details'!AJ207</f>
        <v>0</v>
      </c>
      <c r="AP25" s="872"/>
      <c r="AQ25" s="872"/>
      <c r="AR25" s="872"/>
      <c r="AS25" s="872"/>
      <c r="AT25" s="872">
        <f>'Budget Details'!AK207</f>
        <v>0</v>
      </c>
      <c r="AU25" s="872"/>
      <c r="AV25" s="872"/>
      <c r="AW25" s="872"/>
      <c r="AX25" s="872"/>
      <c r="AY25" s="872">
        <f>'Budget Details'!AL207</f>
        <v>0</v>
      </c>
      <c r="AZ25" s="872"/>
      <c r="BA25" s="872"/>
      <c r="BB25" s="872"/>
      <c r="BC25" s="872"/>
      <c r="BD25" s="872">
        <f>'Budget Details'!AM207</f>
        <v>0</v>
      </c>
      <c r="BE25" s="872"/>
      <c r="BF25" s="872"/>
      <c r="BG25" s="872"/>
      <c r="BH25" s="872"/>
      <c r="BI25" s="872">
        <f t="shared" si="5"/>
        <v>0</v>
      </c>
      <c r="BJ25" s="872"/>
      <c r="BK25" s="872"/>
      <c r="BL25" s="872"/>
      <c r="BM25" s="872"/>
      <c r="BN25" s="872"/>
    </row>
    <row r="26" spans="1:66" ht="6.75" customHeight="1" x14ac:dyDescent="0.2">
      <c r="B26" s="874"/>
      <c r="C26" s="874"/>
      <c r="D26" s="874"/>
      <c r="E26" s="874"/>
      <c r="F26" s="874"/>
      <c r="G26" s="874"/>
      <c r="H26" s="874"/>
      <c r="I26" s="874"/>
      <c r="J26" s="874"/>
      <c r="K26" s="874"/>
      <c r="L26" s="874"/>
      <c r="M26" s="874"/>
      <c r="N26" s="874"/>
      <c r="O26" s="874"/>
      <c r="P26" s="874"/>
      <c r="Q26" s="874"/>
      <c r="R26" s="874"/>
      <c r="S26" s="874"/>
      <c r="T26" s="874"/>
      <c r="U26" s="874"/>
      <c r="V26" s="874"/>
      <c r="W26" s="874"/>
      <c r="X26" s="874"/>
      <c r="Y26" s="874"/>
      <c r="Z26" s="874"/>
      <c r="AA26" s="874"/>
      <c r="AB26" s="874"/>
      <c r="AC26" s="874"/>
      <c r="AD26" s="874"/>
      <c r="AE26" s="874"/>
      <c r="AF26" s="874"/>
      <c r="AG26" s="874"/>
      <c r="AH26" s="874"/>
      <c r="AI26" s="874"/>
      <c r="AJ26" s="874"/>
      <c r="AK26" s="874"/>
      <c r="AL26" s="874"/>
      <c r="AM26" s="874"/>
      <c r="AN26" s="874"/>
      <c r="AO26" s="874"/>
      <c r="AP26" s="874"/>
      <c r="AQ26" s="874"/>
      <c r="AR26" s="874"/>
      <c r="AS26" s="874"/>
      <c r="AT26" s="874"/>
      <c r="AU26" s="874"/>
      <c r="AV26" s="874"/>
      <c r="AW26" s="874"/>
      <c r="AX26" s="874"/>
      <c r="AY26" s="874"/>
      <c r="AZ26" s="874"/>
      <c r="BA26" s="874"/>
      <c r="BB26" s="874"/>
      <c r="BC26" s="874"/>
      <c r="BD26" s="874"/>
      <c r="BE26" s="874"/>
      <c r="BF26" s="874"/>
      <c r="BG26" s="874"/>
      <c r="BH26" s="874"/>
      <c r="BI26" s="874"/>
      <c r="BJ26" s="874"/>
      <c r="BK26" s="874"/>
      <c r="BL26" s="874"/>
      <c r="BM26" s="874"/>
      <c r="BN26" s="874"/>
    </row>
    <row r="27" spans="1:66" ht="22.5" customHeight="1" x14ac:dyDescent="0.2">
      <c r="B27" s="924" t="s">
        <v>343</v>
      </c>
      <c r="C27" s="925"/>
      <c r="D27" s="925"/>
      <c r="E27" s="925"/>
      <c r="F27" s="925"/>
      <c r="G27" s="925"/>
      <c r="H27" s="925"/>
      <c r="I27" s="925"/>
      <c r="J27" s="926"/>
      <c r="K27" s="873">
        <f>SUM(K9,K12,K16,K17,K20,K21,K25)</f>
        <v>0</v>
      </c>
      <c r="L27" s="873"/>
      <c r="M27" s="873"/>
      <c r="N27" s="873"/>
      <c r="O27" s="873"/>
      <c r="P27" s="873">
        <f>SUM(P9,P12,P16,P17,P20,P21,P25)</f>
        <v>0</v>
      </c>
      <c r="Q27" s="873"/>
      <c r="R27" s="873"/>
      <c r="S27" s="873"/>
      <c r="T27" s="873"/>
      <c r="U27" s="873">
        <f>SUM(U9,U12,U16,U17,U20,U21,U25)</f>
        <v>0</v>
      </c>
      <c r="V27" s="873"/>
      <c r="W27" s="873"/>
      <c r="X27" s="873"/>
      <c r="Y27" s="873"/>
      <c r="Z27" s="873">
        <f>SUM(Z9,Z12,Z16,Z17,Z20,Z21,Z25)</f>
        <v>0</v>
      </c>
      <c r="AA27" s="873"/>
      <c r="AB27" s="873"/>
      <c r="AC27" s="873"/>
      <c r="AD27" s="873"/>
      <c r="AE27" s="873">
        <f>SUM(AE9,AE12,AE16,AE17,AE20,AE21,AE25)</f>
        <v>0</v>
      </c>
      <c r="AF27" s="873"/>
      <c r="AG27" s="873"/>
      <c r="AH27" s="873"/>
      <c r="AI27" s="873"/>
      <c r="AJ27" s="873">
        <f t="shared" ref="AJ27" si="28">SUM(AJ9,AJ12,AJ16,AJ17,AJ20,AJ21,AJ25)</f>
        <v>0</v>
      </c>
      <c r="AK27" s="873"/>
      <c r="AL27" s="873"/>
      <c r="AM27" s="873"/>
      <c r="AN27" s="873"/>
      <c r="AO27" s="873">
        <f t="shared" ref="AO27" si="29">SUM(AO9,AO12,AO16,AO17,AO20,AO21,AO25)</f>
        <v>0</v>
      </c>
      <c r="AP27" s="873"/>
      <c r="AQ27" s="873"/>
      <c r="AR27" s="873"/>
      <c r="AS27" s="873"/>
      <c r="AT27" s="873">
        <f t="shared" ref="AT27" si="30">SUM(AT9,AT12,AT16,AT17,AT20,AT21,AT25)</f>
        <v>0</v>
      </c>
      <c r="AU27" s="873"/>
      <c r="AV27" s="873"/>
      <c r="AW27" s="873"/>
      <c r="AX27" s="873"/>
      <c r="AY27" s="873">
        <f t="shared" ref="AY27" si="31">SUM(AY9,AY12,AY16,AY17,AY20,AY21,AY25)</f>
        <v>0</v>
      </c>
      <c r="AZ27" s="873"/>
      <c r="BA27" s="873"/>
      <c r="BB27" s="873"/>
      <c r="BC27" s="873"/>
      <c r="BD27" s="873">
        <f t="shared" ref="BD27" si="32">SUM(BD9,BD12,BD16,BD17,BD20,BD21,BD25)</f>
        <v>0</v>
      </c>
      <c r="BE27" s="873"/>
      <c r="BF27" s="873"/>
      <c r="BG27" s="873"/>
      <c r="BH27" s="873"/>
      <c r="BI27" s="873">
        <f>SUM(BI9,BI12,BI16,BI17,BI20,BI21,BI25)</f>
        <v>0</v>
      </c>
      <c r="BJ27" s="873"/>
      <c r="BK27" s="873"/>
      <c r="BL27" s="873"/>
      <c r="BM27" s="873"/>
      <c r="BN27" s="873"/>
    </row>
    <row r="28" spans="1:66" ht="27.75" customHeight="1" x14ac:dyDescent="0.2">
      <c r="B28" s="899" t="s">
        <v>344</v>
      </c>
      <c r="C28" s="899"/>
      <c r="D28" s="899"/>
      <c r="E28" s="899"/>
      <c r="F28" s="899"/>
      <c r="G28" s="899"/>
      <c r="H28" s="899"/>
      <c r="I28" s="899"/>
      <c r="J28" s="899"/>
      <c r="K28" s="893">
        <f>'Budget Details'!AD210</f>
        <v>0</v>
      </c>
      <c r="L28" s="893"/>
      <c r="M28" s="893"/>
      <c r="N28" s="893"/>
      <c r="O28" s="893"/>
      <c r="P28" s="870">
        <f>'Budget Details'!AE210</f>
        <v>0</v>
      </c>
      <c r="Q28" s="870"/>
      <c r="R28" s="870"/>
      <c r="S28" s="870"/>
      <c r="T28" s="870"/>
      <c r="U28" s="870">
        <f>'Budget Details'!AF210</f>
        <v>0</v>
      </c>
      <c r="V28" s="870"/>
      <c r="W28" s="870"/>
      <c r="X28" s="870"/>
      <c r="Y28" s="870"/>
      <c r="Z28" s="870">
        <f>'Budget Details'!AG210</f>
        <v>0</v>
      </c>
      <c r="AA28" s="870"/>
      <c r="AB28" s="870"/>
      <c r="AC28" s="870"/>
      <c r="AD28" s="870"/>
      <c r="AE28" s="870">
        <f>'Budget Details'!AH210</f>
        <v>0</v>
      </c>
      <c r="AF28" s="870"/>
      <c r="AG28" s="870"/>
      <c r="AH28" s="870"/>
      <c r="AI28" s="870"/>
      <c r="AJ28" s="870">
        <f>'Budget Details'!AI210</f>
        <v>0</v>
      </c>
      <c r="AK28" s="870"/>
      <c r="AL28" s="870"/>
      <c r="AM28" s="870"/>
      <c r="AN28" s="870"/>
      <c r="AO28" s="870">
        <f>'Budget Details'!AJ210</f>
        <v>0</v>
      </c>
      <c r="AP28" s="870"/>
      <c r="AQ28" s="870"/>
      <c r="AR28" s="870"/>
      <c r="AS28" s="870"/>
      <c r="AT28" s="870">
        <f>'Budget Details'!AK210</f>
        <v>0</v>
      </c>
      <c r="AU28" s="870"/>
      <c r="AV28" s="870"/>
      <c r="AW28" s="870"/>
      <c r="AX28" s="870"/>
      <c r="AY28" s="870">
        <f>'Budget Details'!AL210</f>
        <v>0</v>
      </c>
      <c r="AZ28" s="870"/>
      <c r="BA28" s="870"/>
      <c r="BB28" s="870"/>
      <c r="BC28" s="870"/>
      <c r="BD28" s="870">
        <f>'Budget Details'!AM210</f>
        <v>0</v>
      </c>
      <c r="BE28" s="870"/>
      <c r="BF28" s="870"/>
      <c r="BG28" s="870"/>
      <c r="BH28" s="870"/>
      <c r="BI28" s="927">
        <f>SUM(K28:BH28)</f>
        <v>0</v>
      </c>
      <c r="BJ28" s="927"/>
      <c r="BK28" s="927"/>
      <c r="BL28" s="927"/>
      <c r="BM28" s="927"/>
      <c r="BN28" s="927"/>
    </row>
    <row r="29" spans="1:66" ht="25.5" customHeight="1" x14ac:dyDescent="0.2">
      <c r="B29" s="896" t="s">
        <v>308</v>
      </c>
      <c r="C29" s="897"/>
      <c r="D29" s="897"/>
      <c r="E29" s="897"/>
      <c r="F29" s="897"/>
      <c r="G29" s="897"/>
      <c r="H29" s="897"/>
      <c r="I29" s="897"/>
      <c r="J29" s="898"/>
      <c r="K29" s="871">
        <f>'Budget Details'!AD211</f>
        <v>0</v>
      </c>
      <c r="L29" s="871"/>
      <c r="M29" s="871"/>
      <c r="N29" s="871"/>
      <c r="O29" s="871"/>
      <c r="P29" s="871">
        <f>'Budget Details'!AE211</f>
        <v>0</v>
      </c>
      <c r="Q29" s="871"/>
      <c r="R29" s="871"/>
      <c r="S29" s="871"/>
      <c r="T29" s="871"/>
      <c r="U29" s="871">
        <f>'Budget Details'!AF211</f>
        <v>0</v>
      </c>
      <c r="V29" s="871"/>
      <c r="W29" s="871"/>
      <c r="X29" s="871"/>
      <c r="Y29" s="871"/>
      <c r="Z29" s="871">
        <f>'Budget Details'!AG211</f>
        <v>0</v>
      </c>
      <c r="AA29" s="871"/>
      <c r="AB29" s="871"/>
      <c r="AC29" s="871"/>
      <c r="AD29" s="871"/>
      <c r="AE29" s="871">
        <f>'Budget Details'!AH211</f>
        <v>0</v>
      </c>
      <c r="AF29" s="871"/>
      <c r="AG29" s="871"/>
      <c r="AH29" s="871"/>
      <c r="AI29" s="871"/>
      <c r="AJ29" s="871">
        <f>'Budget Details'!AI211</f>
        <v>0</v>
      </c>
      <c r="AK29" s="871"/>
      <c r="AL29" s="871"/>
      <c r="AM29" s="871"/>
      <c r="AN29" s="871"/>
      <c r="AO29" s="871">
        <f>'Budget Details'!AJ211</f>
        <v>0</v>
      </c>
      <c r="AP29" s="871"/>
      <c r="AQ29" s="871"/>
      <c r="AR29" s="871"/>
      <c r="AS29" s="871"/>
      <c r="AT29" s="871">
        <f>'Budget Details'!AK211</f>
        <v>0</v>
      </c>
      <c r="AU29" s="871"/>
      <c r="AV29" s="871"/>
      <c r="AW29" s="871"/>
      <c r="AX29" s="871"/>
      <c r="AY29" s="871">
        <f>'Budget Details'!AL211</f>
        <v>0</v>
      </c>
      <c r="AZ29" s="871"/>
      <c r="BA29" s="871"/>
      <c r="BB29" s="871"/>
      <c r="BC29" s="871"/>
      <c r="BD29" s="871">
        <f>'Budget Details'!AM211</f>
        <v>0</v>
      </c>
      <c r="BE29" s="871"/>
      <c r="BF29" s="871"/>
      <c r="BG29" s="871"/>
      <c r="BH29" s="871"/>
      <c r="BI29" s="920">
        <f>SUM(K29:BH29)</f>
        <v>0</v>
      </c>
      <c r="BJ29" s="920"/>
      <c r="BK29" s="920"/>
      <c r="BL29" s="920"/>
      <c r="BM29" s="920"/>
      <c r="BN29" s="920"/>
    </row>
    <row r="30" spans="1:66" ht="8.25" customHeight="1" x14ac:dyDescent="0.2">
      <c r="B30" s="922"/>
      <c r="C30" s="922"/>
      <c r="D30" s="922"/>
      <c r="E30" s="922"/>
      <c r="F30" s="922"/>
      <c r="G30" s="922"/>
      <c r="H30" s="922"/>
      <c r="I30" s="922"/>
      <c r="J30" s="922"/>
      <c r="K30" s="922"/>
      <c r="L30" s="922"/>
      <c r="M30" s="922"/>
      <c r="N30" s="922"/>
      <c r="O30" s="922"/>
      <c r="P30" s="922"/>
      <c r="Q30" s="922"/>
      <c r="R30" s="922"/>
      <c r="S30" s="922"/>
      <c r="T30" s="922"/>
      <c r="U30" s="922"/>
      <c r="V30" s="922"/>
      <c r="W30" s="922"/>
      <c r="X30" s="922"/>
      <c r="Y30" s="922"/>
      <c r="Z30" s="922"/>
      <c r="AA30" s="922"/>
      <c r="AB30" s="922"/>
      <c r="AC30" s="922"/>
      <c r="AD30" s="922"/>
      <c r="AE30" s="922"/>
      <c r="AF30" s="922"/>
      <c r="AG30" s="922"/>
      <c r="AH30" s="922"/>
      <c r="AI30" s="922"/>
      <c r="AJ30" s="922"/>
      <c r="AK30" s="922"/>
      <c r="AL30" s="922"/>
      <c r="AM30" s="922"/>
      <c r="AN30" s="922"/>
      <c r="AO30" s="922"/>
      <c r="AP30" s="922"/>
      <c r="AQ30" s="922"/>
      <c r="AR30" s="922"/>
      <c r="AS30" s="922"/>
      <c r="AT30" s="922"/>
      <c r="AU30" s="922"/>
      <c r="AV30" s="922"/>
      <c r="AW30" s="922"/>
      <c r="AX30" s="922"/>
      <c r="AY30" s="922"/>
      <c r="AZ30" s="922"/>
      <c r="BA30" s="922"/>
      <c r="BB30" s="922"/>
      <c r="BC30" s="922"/>
      <c r="BD30" s="922"/>
      <c r="BE30" s="922"/>
      <c r="BF30" s="922"/>
      <c r="BG30" s="922"/>
      <c r="BH30" s="922"/>
      <c r="BI30" s="922"/>
      <c r="BJ30" s="922"/>
      <c r="BK30" s="922"/>
      <c r="BL30" s="922"/>
      <c r="BM30" s="922"/>
      <c r="BN30" s="922"/>
    </row>
    <row r="31" spans="1:66" ht="25.5" customHeight="1" x14ac:dyDescent="0.2">
      <c r="B31" s="896" t="s">
        <v>345</v>
      </c>
      <c r="C31" s="897"/>
      <c r="D31" s="897"/>
      <c r="E31" s="897"/>
      <c r="F31" s="897"/>
      <c r="G31" s="897"/>
      <c r="H31" s="897"/>
      <c r="I31" s="897"/>
      <c r="J31" s="898"/>
      <c r="K31" s="866">
        <f>K27+K29</f>
        <v>0</v>
      </c>
      <c r="L31" s="867"/>
      <c r="M31" s="867"/>
      <c r="N31" s="867"/>
      <c r="O31" s="868"/>
      <c r="P31" s="132">
        <f>P27+P29</f>
        <v>0</v>
      </c>
      <c r="Q31" s="132"/>
      <c r="R31" s="132"/>
      <c r="S31" s="132"/>
      <c r="T31" s="132"/>
      <c r="U31" s="921">
        <f>U27+U29</f>
        <v>0</v>
      </c>
      <c r="V31" s="867"/>
      <c r="W31" s="867"/>
      <c r="X31" s="867"/>
      <c r="Y31" s="868"/>
      <c r="Z31" s="921">
        <f>Z29+Z27</f>
        <v>0</v>
      </c>
      <c r="AA31" s="867"/>
      <c r="AB31" s="867"/>
      <c r="AC31" s="867"/>
      <c r="AD31" s="956"/>
      <c r="AE31" s="866">
        <f>AE29+AE27</f>
        <v>0</v>
      </c>
      <c r="AF31" s="867"/>
      <c r="AG31" s="867"/>
      <c r="AH31" s="867"/>
      <c r="AI31" s="868"/>
      <c r="AJ31" s="866">
        <f t="shared" ref="AJ31" si="33">AJ29+AJ27</f>
        <v>0</v>
      </c>
      <c r="AK31" s="867"/>
      <c r="AL31" s="867"/>
      <c r="AM31" s="867"/>
      <c r="AN31" s="868"/>
      <c r="AO31" s="866">
        <f t="shared" ref="AO31" si="34">AO29+AO27</f>
        <v>0</v>
      </c>
      <c r="AP31" s="867"/>
      <c r="AQ31" s="867"/>
      <c r="AR31" s="867"/>
      <c r="AS31" s="868"/>
      <c r="AT31" s="866">
        <f t="shared" ref="AT31" si="35">AT29+AT27</f>
        <v>0</v>
      </c>
      <c r="AU31" s="867"/>
      <c r="AV31" s="867"/>
      <c r="AW31" s="867"/>
      <c r="AX31" s="868"/>
      <c r="AY31" s="866">
        <f t="shared" ref="AY31" si="36">AY29+AY27</f>
        <v>0</v>
      </c>
      <c r="AZ31" s="867"/>
      <c r="BA31" s="867"/>
      <c r="BB31" s="867"/>
      <c r="BC31" s="868"/>
      <c r="BD31" s="866">
        <f t="shared" ref="BD31" si="37">BD29+BD27</f>
        <v>0</v>
      </c>
      <c r="BE31" s="867"/>
      <c r="BF31" s="867"/>
      <c r="BG31" s="867"/>
      <c r="BH31" s="868"/>
      <c r="BI31" s="921">
        <f>SUM(K31:BH31)</f>
        <v>0</v>
      </c>
      <c r="BJ31" s="867"/>
      <c r="BK31" s="867"/>
      <c r="BL31" s="867"/>
      <c r="BM31" s="867"/>
      <c r="BN31" s="868"/>
    </row>
    <row r="32" spans="1:66" ht="8.25" customHeight="1" x14ac:dyDescent="0.2">
      <c r="B32" s="919"/>
      <c r="C32" s="919"/>
      <c r="D32" s="919"/>
      <c r="E32" s="919"/>
      <c r="F32" s="919"/>
      <c r="G32" s="919"/>
      <c r="H32" s="919"/>
      <c r="I32" s="919"/>
      <c r="J32" s="919"/>
      <c r="K32" s="919"/>
      <c r="L32" s="919"/>
      <c r="M32" s="919"/>
      <c r="N32" s="919"/>
      <c r="O32" s="919"/>
      <c r="P32" s="919"/>
      <c r="Q32" s="919"/>
      <c r="R32" s="919"/>
      <c r="S32" s="919"/>
      <c r="T32" s="919"/>
      <c r="U32" s="919"/>
      <c r="V32" s="919"/>
      <c r="W32" s="919"/>
      <c r="X32" s="919"/>
      <c r="Y32" s="919"/>
      <c r="Z32" s="919"/>
      <c r="AA32" s="919"/>
      <c r="AB32" s="919"/>
      <c r="AC32" s="919"/>
      <c r="AD32" s="919"/>
      <c r="AE32" s="919"/>
      <c r="AF32" s="919"/>
      <c r="AG32" s="919"/>
      <c r="AH32" s="919"/>
      <c r="AI32" s="919"/>
      <c r="AJ32" s="919"/>
      <c r="AK32" s="919"/>
      <c r="AL32" s="919"/>
      <c r="AM32" s="919"/>
      <c r="AN32" s="919"/>
      <c r="AO32" s="919"/>
      <c r="AP32" s="919"/>
      <c r="AQ32" s="919"/>
      <c r="AR32" s="919"/>
      <c r="AS32" s="919"/>
      <c r="AT32" s="919"/>
      <c r="AU32" s="919"/>
      <c r="AV32" s="919"/>
      <c r="AW32" s="919"/>
      <c r="AX32" s="919"/>
      <c r="AY32" s="919"/>
      <c r="AZ32" s="919"/>
      <c r="BA32" s="919"/>
      <c r="BB32" s="919"/>
      <c r="BC32" s="919"/>
      <c r="BD32" s="919"/>
      <c r="BE32" s="919"/>
      <c r="BF32" s="919"/>
      <c r="BG32" s="919"/>
      <c r="BH32" s="919"/>
      <c r="BI32" s="919"/>
      <c r="BJ32" s="919"/>
      <c r="BK32" s="919"/>
      <c r="BL32" s="919"/>
      <c r="BM32" s="919"/>
      <c r="BN32" s="919"/>
    </row>
    <row r="33" spans="2:66" ht="33.75" customHeight="1" outlineLevel="1" x14ac:dyDescent="0.2">
      <c r="B33" s="912" t="s">
        <v>346</v>
      </c>
      <c r="C33" s="913"/>
      <c r="D33" s="913"/>
      <c r="E33" s="913"/>
      <c r="F33" s="913"/>
      <c r="G33" s="913"/>
      <c r="H33" s="913"/>
      <c r="I33" s="913"/>
      <c r="J33" s="914"/>
      <c r="K33" s="915">
        <f>'Budget Details'!AP213</f>
        <v>0</v>
      </c>
      <c r="L33" s="869"/>
      <c r="M33" s="869"/>
      <c r="N33" s="869"/>
      <c r="O33" s="869"/>
      <c r="P33" s="916">
        <f>'Budget Details'!AQ213</f>
        <v>0</v>
      </c>
      <c r="Q33" s="917"/>
      <c r="R33" s="917"/>
      <c r="S33" s="917"/>
      <c r="T33" s="917"/>
      <c r="U33" s="869">
        <f>'Budget Details'!AR213</f>
        <v>0</v>
      </c>
      <c r="V33" s="869"/>
      <c r="W33" s="869"/>
      <c r="X33" s="869"/>
      <c r="Y33" s="869"/>
      <c r="Z33" s="869">
        <f>'Budget Details'!AS213</f>
        <v>0</v>
      </c>
      <c r="AA33" s="869"/>
      <c r="AB33" s="869"/>
      <c r="AC33" s="869"/>
      <c r="AD33" s="869"/>
      <c r="AE33" s="869">
        <f>'Budget Details'!AT213</f>
        <v>0</v>
      </c>
      <c r="AF33" s="869"/>
      <c r="AG33" s="869"/>
      <c r="AH33" s="869"/>
      <c r="AI33" s="869"/>
      <c r="AJ33" s="869">
        <f>'Budget Details'!AU213</f>
        <v>0</v>
      </c>
      <c r="AK33" s="869"/>
      <c r="AL33" s="869"/>
      <c r="AM33" s="869"/>
      <c r="AN33" s="869"/>
      <c r="AO33" s="869">
        <f>'Budget Details'!AV213</f>
        <v>0</v>
      </c>
      <c r="AP33" s="869"/>
      <c r="AQ33" s="869"/>
      <c r="AR33" s="869"/>
      <c r="AS33" s="869"/>
      <c r="AT33" s="869">
        <f>'Budget Details'!AW213</f>
        <v>0</v>
      </c>
      <c r="AU33" s="869"/>
      <c r="AV33" s="869"/>
      <c r="AW33" s="869"/>
      <c r="AX33" s="869"/>
      <c r="AY33" s="869">
        <f>'Budget Details'!AX213</f>
        <v>0</v>
      </c>
      <c r="AZ33" s="869"/>
      <c r="BA33" s="869"/>
      <c r="BB33" s="869"/>
      <c r="BC33" s="869"/>
      <c r="BD33" s="869">
        <f>'Budget Details'!AY213</f>
        <v>0</v>
      </c>
      <c r="BE33" s="869"/>
      <c r="BF33" s="869"/>
      <c r="BG33" s="869"/>
      <c r="BH33" s="869"/>
      <c r="BI33" s="909">
        <f>SUM(K33:BH33)</f>
        <v>0</v>
      </c>
      <c r="BJ33" s="910"/>
      <c r="BK33" s="910"/>
      <c r="BL33" s="910"/>
      <c r="BM33" s="910"/>
      <c r="BN33" s="910"/>
    </row>
    <row r="34" spans="2:66" ht="20.25" customHeight="1" outlineLevel="1" x14ac:dyDescent="0.2">
      <c r="B34" s="911" t="s">
        <v>347</v>
      </c>
      <c r="C34" s="911"/>
      <c r="D34" s="911"/>
      <c r="E34" s="911"/>
      <c r="F34" s="911"/>
      <c r="G34" s="911"/>
      <c r="H34" s="911"/>
      <c r="I34" s="911"/>
      <c r="J34" s="911"/>
      <c r="K34" s="923">
        <f>IFERROR((K33/K35),0)</f>
        <v>0</v>
      </c>
      <c r="L34" s="923"/>
      <c r="M34" s="923"/>
      <c r="N34" s="923"/>
      <c r="O34" s="923"/>
      <c r="P34" s="548">
        <f>IFERROR((P33/P35),0)</f>
        <v>0</v>
      </c>
      <c r="Q34" s="549"/>
      <c r="R34" s="549"/>
      <c r="S34" s="549"/>
      <c r="T34" s="549"/>
      <c r="U34" s="865">
        <f>IFERROR((U33/U35),0)</f>
        <v>0</v>
      </c>
      <c r="V34" s="865"/>
      <c r="W34" s="865"/>
      <c r="X34" s="865"/>
      <c r="Y34" s="865"/>
      <c r="Z34" s="865">
        <f>IFERROR((Z33/Z35),0)</f>
        <v>0</v>
      </c>
      <c r="AA34" s="865"/>
      <c r="AB34" s="865"/>
      <c r="AC34" s="865"/>
      <c r="AD34" s="865"/>
      <c r="AE34" s="865">
        <f>IFERROR((AE33/AE35),0)</f>
        <v>0</v>
      </c>
      <c r="AF34" s="865"/>
      <c r="AG34" s="865"/>
      <c r="AH34" s="865"/>
      <c r="AI34" s="865"/>
      <c r="AJ34" s="865">
        <f>IFERROR((AJ33/AJ35),0)</f>
        <v>0</v>
      </c>
      <c r="AK34" s="865"/>
      <c r="AL34" s="865"/>
      <c r="AM34" s="865"/>
      <c r="AN34" s="865"/>
      <c r="AO34" s="865">
        <f t="shared" ref="AO34" si="38">IFERROR((AO33/AO35),0)</f>
        <v>0</v>
      </c>
      <c r="AP34" s="865"/>
      <c r="AQ34" s="865"/>
      <c r="AR34" s="865"/>
      <c r="AS34" s="865"/>
      <c r="AT34" s="865">
        <f t="shared" ref="AT34" si="39">IFERROR((AT33/AT35),0)</f>
        <v>0</v>
      </c>
      <c r="AU34" s="865"/>
      <c r="AV34" s="865"/>
      <c r="AW34" s="865"/>
      <c r="AX34" s="865"/>
      <c r="AY34" s="865">
        <f t="shared" ref="AY34" si="40">IFERROR((AY33/AY35),0)</f>
        <v>0</v>
      </c>
      <c r="AZ34" s="865"/>
      <c r="BA34" s="865"/>
      <c r="BB34" s="865"/>
      <c r="BC34" s="865"/>
      <c r="BD34" s="865">
        <f t="shared" ref="BD34" si="41">IFERROR((BD33/BD35),0)</f>
        <v>0</v>
      </c>
      <c r="BE34" s="865"/>
      <c r="BF34" s="865"/>
      <c r="BG34" s="865"/>
      <c r="BH34" s="865"/>
      <c r="BI34" s="918">
        <f>IFERROR((BI33/BI35),0)</f>
        <v>0</v>
      </c>
      <c r="BJ34" s="918"/>
      <c r="BK34" s="918"/>
      <c r="BL34" s="918"/>
      <c r="BM34" s="918"/>
      <c r="BN34" s="918"/>
    </row>
    <row r="35" spans="2:66" ht="25.5" customHeight="1" x14ac:dyDescent="0.2">
      <c r="B35" s="896" t="s">
        <v>348</v>
      </c>
      <c r="C35" s="897"/>
      <c r="D35" s="897"/>
      <c r="E35" s="897"/>
      <c r="F35" s="897"/>
      <c r="G35" s="897"/>
      <c r="H35" s="897"/>
      <c r="I35" s="897"/>
      <c r="J35" s="898"/>
      <c r="K35" s="871">
        <f>SUM(K31,K33)</f>
        <v>0</v>
      </c>
      <c r="L35" s="871"/>
      <c r="M35" s="871"/>
      <c r="N35" s="871"/>
      <c r="O35" s="871"/>
      <c r="P35" s="871">
        <f>SUM(P31,P33)</f>
        <v>0</v>
      </c>
      <c r="Q35" s="871"/>
      <c r="R35" s="871"/>
      <c r="S35" s="871"/>
      <c r="T35" s="871"/>
      <c r="U35" s="871">
        <f>SUM(U31,U33)</f>
        <v>0</v>
      </c>
      <c r="V35" s="871"/>
      <c r="W35" s="871"/>
      <c r="X35" s="871"/>
      <c r="Y35" s="871"/>
      <c r="Z35" s="862">
        <f>SUM(Z33,Z31)</f>
        <v>0</v>
      </c>
      <c r="AA35" s="863"/>
      <c r="AB35" s="863"/>
      <c r="AC35" s="863"/>
      <c r="AD35" s="864"/>
      <c r="AE35" s="862">
        <f>SUM(AE33,AE31)</f>
        <v>0</v>
      </c>
      <c r="AF35" s="863"/>
      <c r="AG35" s="863"/>
      <c r="AH35" s="863"/>
      <c r="AI35" s="864"/>
      <c r="AJ35" s="862">
        <f t="shared" ref="AJ35" si="42">SUM(AJ33,AJ31)</f>
        <v>0</v>
      </c>
      <c r="AK35" s="863"/>
      <c r="AL35" s="863"/>
      <c r="AM35" s="863"/>
      <c r="AN35" s="864"/>
      <c r="AO35" s="862">
        <f t="shared" ref="AO35" si="43">SUM(AO33,AO31)</f>
        <v>0</v>
      </c>
      <c r="AP35" s="863"/>
      <c r="AQ35" s="863"/>
      <c r="AR35" s="863"/>
      <c r="AS35" s="864"/>
      <c r="AT35" s="862">
        <f t="shared" ref="AT35" si="44">SUM(AT33,AT31)</f>
        <v>0</v>
      </c>
      <c r="AU35" s="863"/>
      <c r="AV35" s="863"/>
      <c r="AW35" s="863"/>
      <c r="AX35" s="864"/>
      <c r="AY35" s="862">
        <f t="shared" ref="AY35" si="45">SUM(AY33,AY31)</f>
        <v>0</v>
      </c>
      <c r="AZ35" s="863"/>
      <c r="BA35" s="863"/>
      <c r="BB35" s="863"/>
      <c r="BC35" s="864"/>
      <c r="BD35" s="862">
        <f t="shared" ref="BD35" si="46">SUM(BD33,BD31)</f>
        <v>0</v>
      </c>
      <c r="BE35" s="863"/>
      <c r="BF35" s="863"/>
      <c r="BG35" s="863"/>
      <c r="BH35" s="864"/>
      <c r="BI35" s="894">
        <f>SUM(BI31,BI33)</f>
        <v>0</v>
      </c>
      <c r="BJ35" s="895"/>
      <c r="BK35" s="895"/>
      <c r="BL35" s="895"/>
      <c r="BM35" s="895"/>
      <c r="BN35" s="895"/>
    </row>
  </sheetData>
  <mergeCells count="296">
    <mergeCell ref="AE35:AI35"/>
    <mergeCell ref="Z28:AD28"/>
    <mergeCell ref="AE28:AI28"/>
    <mergeCell ref="Z31:AD31"/>
    <mergeCell ref="Z34:AD34"/>
    <mergeCell ref="AE34:AI34"/>
    <mergeCell ref="AE31:AI31"/>
    <mergeCell ref="AE10:AI10"/>
    <mergeCell ref="AE11:AI11"/>
    <mergeCell ref="AE12:AI12"/>
    <mergeCell ref="AE13:AI13"/>
    <mergeCell ref="AE14:AI14"/>
    <mergeCell ref="AE15:AI15"/>
    <mergeCell ref="AE16:AI16"/>
    <mergeCell ref="AE17:AI17"/>
    <mergeCell ref="AE18:AI18"/>
    <mergeCell ref="Z10:AD10"/>
    <mergeCell ref="Z11:AD11"/>
    <mergeCell ref="Z12:AD12"/>
    <mergeCell ref="Z13:AD13"/>
    <mergeCell ref="Z14:AD14"/>
    <mergeCell ref="Z15:AD15"/>
    <mergeCell ref="Z16:AD16"/>
    <mergeCell ref="Z17:AD17"/>
    <mergeCell ref="B10:J10"/>
    <mergeCell ref="B11:J11"/>
    <mergeCell ref="K10:O10"/>
    <mergeCell ref="U10:Y10"/>
    <mergeCell ref="BI10:BN10"/>
    <mergeCell ref="K11:O11"/>
    <mergeCell ref="U11:Y11"/>
    <mergeCell ref="BI11:BN11"/>
    <mergeCell ref="BI12:BN12"/>
    <mergeCell ref="B12:J12"/>
    <mergeCell ref="K12:O12"/>
    <mergeCell ref="P12:T12"/>
    <mergeCell ref="U12:Y12"/>
    <mergeCell ref="AJ12:AN12"/>
    <mergeCell ref="AO12:AS12"/>
    <mergeCell ref="AT12:AX12"/>
    <mergeCell ref="AY12:BC12"/>
    <mergeCell ref="BD12:BH12"/>
    <mergeCell ref="B13:J13"/>
    <mergeCell ref="B14:J14"/>
    <mergeCell ref="K13:O13"/>
    <mergeCell ref="K14:O14"/>
    <mergeCell ref="U13:Y13"/>
    <mergeCell ref="U14:Y14"/>
    <mergeCell ref="BI15:BN15"/>
    <mergeCell ref="U15:Y15"/>
    <mergeCell ref="P15:T15"/>
    <mergeCell ref="K15:O15"/>
    <mergeCell ref="B15:J15"/>
    <mergeCell ref="BI13:BN13"/>
    <mergeCell ref="BI14:BN14"/>
    <mergeCell ref="AJ13:AN13"/>
    <mergeCell ref="AO13:AS13"/>
    <mergeCell ref="AT13:AX13"/>
    <mergeCell ref="AY13:BC13"/>
    <mergeCell ref="BD13:BH13"/>
    <mergeCell ref="AJ14:AN14"/>
    <mergeCell ref="AO14:AS14"/>
    <mergeCell ref="AT14:AX14"/>
    <mergeCell ref="AY14:BC14"/>
    <mergeCell ref="BD14:BH14"/>
    <mergeCell ref="AJ15:AN15"/>
    <mergeCell ref="B9:J9"/>
    <mergeCell ref="K9:O9"/>
    <mergeCell ref="P9:T9"/>
    <mergeCell ref="U9:Y9"/>
    <mergeCell ref="BI9:BN9"/>
    <mergeCell ref="B2:BN2"/>
    <mergeCell ref="B3:BN3"/>
    <mergeCell ref="B4:BN4"/>
    <mergeCell ref="K7:O8"/>
    <mergeCell ref="P7:T8"/>
    <mergeCell ref="U7:Y8"/>
    <mergeCell ref="BI7:BN8"/>
    <mergeCell ref="Z7:AD8"/>
    <mergeCell ref="Z9:AD9"/>
    <mergeCell ref="AE7:AI8"/>
    <mergeCell ref="AE9:AI9"/>
    <mergeCell ref="AJ7:AN8"/>
    <mergeCell ref="AO7:AS8"/>
    <mergeCell ref="AT7:AX8"/>
    <mergeCell ref="AY7:BC8"/>
    <mergeCell ref="BD7:BH8"/>
    <mergeCell ref="AJ9:AN9"/>
    <mergeCell ref="AO9:AS9"/>
    <mergeCell ref="AT9:AX9"/>
    <mergeCell ref="B16:J16"/>
    <mergeCell ref="K16:O16"/>
    <mergeCell ref="P16:T16"/>
    <mergeCell ref="U16:Y16"/>
    <mergeCell ref="BI16:BN16"/>
    <mergeCell ref="B20:J20"/>
    <mergeCell ref="K20:O20"/>
    <mergeCell ref="P20:T20"/>
    <mergeCell ref="B18:J18"/>
    <mergeCell ref="B19:J19"/>
    <mergeCell ref="K18:O18"/>
    <mergeCell ref="K19:O19"/>
    <mergeCell ref="Z19:AD19"/>
    <mergeCell ref="Z20:AD20"/>
    <mergeCell ref="AE19:AI19"/>
    <mergeCell ref="AE20:AI20"/>
    <mergeCell ref="BI19:BN19"/>
    <mergeCell ref="Z18:AD18"/>
    <mergeCell ref="AT18:AX18"/>
    <mergeCell ref="AY18:BC18"/>
    <mergeCell ref="BD18:BH18"/>
    <mergeCell ref="AJ19:AN19"/>
    <mergeCell ref="AO19:AS19"/>
    <mergeCell ref="AT19:AX19"/>
    <mergeCell ref="BI21:BN21"/>
    <mergeCell ref="B17:J17"/>
    <mergeCell ref="K17:O17"/>
    <mergeCell ref="P17:T17"/>
    <mergeCell ref="U17:Y17"/>
    <mergeCell ref="BI17:BN17"/>
    <mergeCell ref="B21:J21"/>
    <mergeCell ref="K21:O21"/>
    <mergeCell ref="P21:T21"/>
    <mergeCell ref="U21:Y21"/>
    <mergeCell ref="U20:Y20"/>
    <mergeCell ref="U18:Y18"/>
    <mergeCell ref="U19:Y19"/>
    <mergeCell ref="BI18:BN18"/>
    <mergeCell ref="Z21:AD21"/>
    <mergeCell ref="AE21:AI21"/>
    <mergeCell ref="BI20:BN20"/>
    <mergeCell ref="AJ17:AN17"/>
    <mergeCell ref="AO17:AS17"/>
    <mergeCell ref="AT17:AX17"/>
    <mergeCell ref="AY17:BC17"/>
    <mergeCell ref="BD17:BH17"/>
    <mergeCell ref="AJ18:AN18"/>
    <mergeCell ref="AO18:AS18"/>
    <mergeCell ref="B24:J24"/>
    <mergeCell ref="K24:O24"/>
    <mergeCell ref="U24:Y24"/>
    <mergeCell ref="BI24:BN24"/>
    <mergeCell ref="BI33:BN33"/>
    <mergeCell ref="B34:J34"/>
    <mergeCell ref="B33:J33"/>
    <mergeCell ref="K33:O33"/>
    <mergeCell ref="P33:T33"/>
    <mergeCell ref="U33:Y33"/>
    <mergeCell ref="BI34:BN34"/>
    <mergeCell ref="B32:BN32"/>
    <mergeCell ref="BI29:BN29"/>
    <mergeCell ref="B31:J31"/>
    <mergeCell ref="K31:O31"/>
    <mergeCell ref="U31:Y31"/>
    <mergeCell ref="BI31:BN31"/>
    <mergeCell ref="B30:BN30"/>
    <mergeCell ref="K34:O34"/>
    <mergeCell ref="U34:Y34"/>
    <mergeCell ref="BI25:BN25"/>
    <mergeCell ref="BI27:BN27"/>
    <mergeCell ref="B27:J27"/>
    <mergeCell ref="BI28:BN28"/>
    <mergeCell ref="BI22:BN22"/>
    <mergeCell ref="B25:J25"/>
    <mergeCell ref="K25:O25"/>
    <mergeCell ref="P25:T25"/>
    <mergeCell ref="U25:Y25"/>
    <mergeCell ref="B23:J23"/>
    <mergeCell ref="K23:O23"/>
    <mergeCell ref="P23:T23"/>
    <mergeCell ref="U23:Y23"/>
    <mergeCell ref="BI23:BN23"/>
    <mergeCell ref="B22:J22"/>
    <mergeCell ref="K22:O22"/>
    <mergeCell ref="P22:T22"/>
    <mergeCell ref="U22:Y22"/>
    <mergeCell ref="Z22:AD22"/>
    <mergeCell ref="Z23:AD23"/>
    <mergeCell ref="Z24:AD24"/>
    <mergeCell ref="Z25:AD25"/>
    <mergeCell ref="AE22:AI22"/>
    <mergeCell ref="AE23:AI23"/>
    <mergeCell ref="AE24:AI24"/>
    <mergeCell ref="AE25:AI25"/>
    <mergeCell ref="AJ22:AN22"/>
    <mergeCell ref="AO22:AS22"/>
    <mergeCell ref="K28:O28"/>
    <mergeCell ref="P28:T28"/>
    <mergeCell ref="U28:Y28"/>
    <mergeCell ref="K27:O27"/>
    <mergeCell ref="P27:T27"/>
    <mergeCell ref="BI35:BN35"/>
    <mergeCell ref="B29:J29"/>
    <mergeCell ref="K29:O29"/>
    <mergeCell ref="B28:J28"/>
    <mergeCell ref="U27:Y27"/>
    <mergeCell ref="P29:T29"/>
    <mergeCell ref="U29:Y29"/>
    <mergeCell ref="B35:J35"/>
    <mergeCell ref="K35:O35"/>
    <mergeCell ref="P35:T35"/>
    <mergeCell ref="U35:Y35"/>
    <mergeCell ref="Z27:AD27"/>
    <mergeCell ref="AE27:AI27"/>
    <mergeCell ref="Z29:AD29"/>
    <mergeCell ref="AE29:AI29"/>
    <mergeCell ref="Z33:AD33"/>
    <mergeCell ref="AE33:AI33"/>
    <mergeCell ref="Z35:AD35"/>
    <mergeCell ref="AJ28:AN28"/>
    <mergeCell ref="AY9:BC9"/>
    <mergeCell ref="BD9:BH9"/>
    <mergeCell ref="AJ10:AN10"/>
    <mergeCell ref="AO10:AS10"/>
    <mergeCell ref="AT10:AX10"/>
    <mergeCell ref="AY10:BC10"/>
    <mergeCell ref="BD10:BH10"/>
    <mergeCell ref="AJ11:AN11"/>
    <mergeCell ref="AO11:AS11"/>
    <mergeCell ref="AT11:AX11"/>
    <mergeCell ref="AY11:BC11"/>
    <mergeCell ref="BD11:BH11"/>
    <mergeCell ref="AO15:AS15"/>
    <mergeCell ref="AT15:AX15"/>
    <mergeCell ref="AY15:BC15"/>
    <mergeCell ref="BD15:BH15"/>
    <mergeCell ref="AJ16:AN16"/>
    <mergeCell ref="AO16:AS16"/>
    <mergeCell ref="AT16:AX16"/>
    <mergeCell ref="AY16:BC16"/>
    <mergeCell ref="BD16:BH16"/>
    <mergeCell ref="AY19:BC19"/>
    <mergeCell ref="BD19:BH19"/>
    <mergeCell ref="AJ20:AN20"/>
    <mergeCell ref="AO20:AS20"/>
    <mergeCell ref="AT20:AX20"/>
    <mergeCell ref="AY20:BC20"/>
    <mergeCell ref="BD20:BH20"/>
    <mergeCell ref="AJ21:AN21"/>
    <mergeCell ref="AO21:AS21"/>
    <mergeCell ref="AT21:AX21"/>
    <mergeCell ref="AY21:BC21"/>
    <mergeCell ref="BD21:BH21"/>
    <mergeCell ref="AT22:AX22"/>
    <mergeCell ref="AY22:BC22"/>
    <mergeCell ref="BD22:BH22"/>
    <mergeCell ref="AJ23:AN23"/>
    <mergeCell ref="AO23:AS23"/>
    <mergeCell ref="AT23:AX23"/>
    <mergeCell ref="AY23:BC23"/>
    <mergeCell ref="BD23:BH23"/>
    <mergeCell ref="AJ24:AN24"/>
    <mergeCell ref="AO24:AS24"/>
    <mergeCell ref="AT24:AX24"/>
    <mergeCell ref="AY24:BC24"/>
    <mergeCell ref="BD24:BH24"/>
    <mergeCell ref="AJ25:AN25"/>
    <mergeCell ref="AO25:AS25"/>
    <mergeCell ref="AT25:AX25"/>
    <mergeCell ref="AY25:BC25"/>
    <mergeCell ref="BD25:BH25"/>
    <mergeCell ref="AJ27:AN27"/>
    <mergeCell ref="AO27:AS27"/>
    <mergeCell ref="AT27:AX27"/>
    <mergeCell ref="AY27:BC27"/>
    <mergeCell ref="BD27:BH27"/>
    <mergeCell ref="B26:BN26"/>
    <mergeCell ref="AO28:AS28"/>
    <mergeCell ref="AT28:AX28"/>
    <mergeCell ref="AY28:BC28"/>
    <mergeCell ref="BD28:BH28"/>
    <mergeCell ref="AJ29:AN29"/>
    <mergeCell ref="AO29:AS29"/>
    <mergeCell ref="AT29:AX29"/>
    <mergeCell ref="AY29:BC29"/>
    <mergeCell ref="BD29:BH29"/>
    <mergeCell ref="AJ31:AN31"/>
    <mergeCell ref="AO31:AS31"/>
    <mergeCell ref="AT31:AX31"/>
    <mergeCell ref="AY31:BC31"/>
    <mergeCell ref="BD31:BH31"/>
    <mergeCell ref="AJ33:AN33"/>
    <mergeCell ref="AO33:AS33"/>
    <mergeCell ref="AT33:AX33"/>
    <mergeCell ref="AY33:BC33"/>
    <mergeCell ref="BD33:BH33"/>
    <mergeCell ref="AJ35:AN35"/>
    <mergeCell ref="AO35:AS35"/>
    <mergeCell ref="AT35:AX35"/>
    <mergeCell ref="AY35:BC35"/>
    <mergeCell ref="BD35:BH35"/>
    <mergeCell ref="AJ34:AN34"/>
    <mergeCell ref="AO34:AS34"/>
    <mergeCell ref="AT34:AX34"/>
    <mergeCell ref="AY34:BC34"/>
    <mergeCell ref="BD34:BH34"/>
  </mergeCells>
  <phoneticPr fontId="13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8B4C9-EF9D-444F-8908-10893B60185A}">
  <sheetPr>
    <tabColor rgb="FFA8BFAE"/>
  </sheetPr>
  <dimension ref="B1:V26"/>
  <sheetViews>
    <sheetView workbookViewId="0">
      <selection activeCell="N22" sqref="N22"/>
    </sheetView>
  </sheetViews>
  <sheetFormatPr defaultRowHeight="25.5" customHeight="1" x14ac:dyDescent="0.2"/>
  <cols>
    <col min="1" max="1" width="2.85546875" customWidth="1"/>
    <col min="2" max="2" width="29.7109375" customWidth="1"/>
    <col min="3" max="3" width="13.140625" customWidth="1"/>
    <col min="4" max="4" width="12.7109375" customWidth="1"/>
    <col min="5" max="6" width="12.85546875" customWidth="1"/>
    <col min="7" max="8" width="13.42578125" bestFit="1" customWidth="1"/>
    <col min="9" max="9" width="10.140625" bestFit="1" customWidth="1"/>
    <col min="10" max="10" width="14.5703125" bestFit="1" customWidth="1"/>
    <col min="11" max="11" width="11.85546875" bestFit="1" customWidth="1"/>
    <col min="12" max="12" width="14.5703125" bestFit="1" customWidth="1"/>
    <col min="13" max="13" width="11.5703125" bestFit="1" customWidth="1"/>
    <col min="14" max="14" width="12.7109375" bestFit="1" customWidth="1"/>
    <col min="15" max="15" width="10.42578125" bestFit="1" customWidth="1"/>
    <col min="16" max="16" width="8" bestFit="1" customWidth="1"/>
    <col min="17" max="17" width="14.5703125" customWidth="1"/>
    <col min="18" max="18" width="12.140625" bestFit="1" customWidth="1"/>
    <col min="19" max="19" width="13" customWidth="1"/>
    <col min="20" max="20" width="15.7109375" customWidth="1"/>
  </cols>
  <sheetData>
    <row r="1" spans="2:22" ht="38.25" customHeight="1" x14ac:dyDescent="0.3">
      <c r="B1" s="964" t="s">
        <v>349</v>
      </c>
      <c r="C1" s="964"/>
      <c r="D1" s="964"/>
      <c r="E1" s="964"/>
      <c r="F1" s="117"/>
      <c r="G1" s="117"/>
      <c r="H1" s="117"/>
      <c r="I1" s="117"/>
      <c r="J1" s="117"/>
      <c r="K1" s="117"/>
      <c r="L1" s="117"/>
      <c r="M1" s="117"/>
      <c r="N1" s="117"/>
      <c r="O1" s="117"/>
      <c r="P1" s="117"/>
      <c r="Q1" s="117"/>
      <c r="R1" s="117"/>
      <c r="S1" s="117"/>
      <c r="T1" s="117"/>
      <c r="U1" s="117"/>
      <c r="V1" s="2"/>
    </row>
    <row r="2" spans="2:22" ht="25.5" customHeight="1" x14ac:dyDescent="0.3">
      <c r="B2" s="117"/>
      <c r="C2" s="960" t="s">
        <v>350</v>
      </c>
      <c r="D2" s="960"/>
      <c r="E2" s="960"/>
      <c r="F2" s="961" t="s">
        <v>351</v>
      </c>
      <c r="G2" s="961"/>
      <c r="H2" s="961"/>
      <c r="I2" s="961"/>
      <c r="J2" s="961"/>
      <c r="K2" s="961"/>
      <c r="L2" s="198"/>
      <c r="M2" s="965" t="s">
        <v>352</v>
      </c>
      <c r="N2" s="965"/>
      <c r="O2" s="965"/>
      <c r="P2" s="965"/>
      <c r="Q2" s="965"/>
      <c r="R2" s="965"/>
      <c r="S2" s="965"/>
      <c r="T2" s="958" t="s">
        <v>331</v>
      </c>
      <c r="U2" s="117"/>
    </row>
    <row r="3" spans="2:22" ht="60" x14ac:dyDescent="0.25">
      <c r="B3" s="117" t="s">
        <v>353</v>
      </c>
      <c r="C3" s="127" t="s">
        <v>354</v>
      </c>
      <c r="D3" s="127" t="s">
        <v>355</v>
      </c>
      <c r="E3" s="127" t="s">
        <v>356</v>
      </c>
      <c r="F3" s="128" t="s">
        <v>357</v>
      </c>
      <c r="G3" s="128" t="s">
        <v>358</v>
      </c>
      <c r="H3" s="128" t="s">
        <v>359</v>
      </c>
      <c r="I3" s="128" t="s">
        <v>360</v>
      </c>
      <c r="J3" s="128" t="s">
        <v>361</v>
      </c>
      <c r="K3" s="128" t="s">
        <v>362</v>
      </c>
      <c r="L3" s="128" t="s">
        <v>363</v>
      </c>
      <c r="M3" s="129" t="s">
        <v>364</v>
      </c>
      <c r="N3" s="129" t="s">
        <v>365</v>
      </c>
      <c r="O3" s="129" t="s">
        <v>366</v>
      </c>
      <c r="P3" s="129" t="s">
        <v>367</v>
      </c>
      <c r="Q3" s="129" t="s">
        <v>368</v>
      </c>
      <c r="R3" s="129" t="s">
        <v>369</v>
      </c>
      <c r="S3" s="129" t="s">
        <v>370</v>
      </c>
      <c r="T3" s="959"/>
      <c r="U3" s="117"/>
    </row>
    <row r="4" spans="2:22" ht="25.5" customHeight="1" x14ac:dyDescent="0.25">
      <c r="B4" s="117" t="s">
        <v>371</v>
      </c>
      <c r="C4" s="300"/>
      <c r="D4" s="300"/>
      <c r="E4" s="125">
        <f>D4-1</f>
        <v>-1</v>
      </c>
      <c r="F4" s="301"/>
      <c r="G4" s="301"/>
      <c r="H4" s="126">
        <f>G4*0.75</f>
        <v>0</v>
      </c>
      <c r="I4" s="301"/>
      <c r="J4" s="301"/>
      <c r="K4" s="301"/>
      <c r="L4" s="301"/>
      <c r="M4" s="126">
        <f t="shared" ref="M4:M13" si="0">(H4*2)*C4</f>
        <v>0</v>
      </c>
      <c r="N4" s="151">
        <f t="shared" ref="N4:N13" si="1">IF(D4=1,H4-M4,(D4-2)*(G4*C4))</f>
        <v>0</v>
      </c>
      <c r="O4" s="151">
        <f t="shared" ref="O4:O13" si="2">C4*F4</f>
        <v>0</v>
      </c>
      <c r="P4" s="151">
        <f t="shared" ref="P4:P13" si="3">C4*(I4*E4)</f>
        <v>0</v>
      </c>
      <c r="Q4" s="151">
        <f>C4*J4</f>
        <v>0</v>
      </c>
      <c r="R4" s="151">
        <f t="shared" ref="R4:R13" si="4">K4*C4</f>
        <v>0</v>
      </c>
      <c r="S4" s="151">
        <f t="shared" ref="S4:S13" si="5">C4*L4</f>
        <v>0</v>
      </c>
      <c r="T4" s="151">
        <f t="shared" ref="T4:T13" si="6">SUM(M4:S4)</f>
        <v>0</v>
      </c>
      <c r="U4" s="117"/>
    </row>
    <row r="5" spans="2:22" ht="25.5" customHeight="1" x14ac:dyDescent="0.25">
      <c r="B5" s="117" t="s">
        <v>372</v>
      </c>
      <c r="C5" s="300"/>
      <c r="D5" s="300"/>
      <c r="E5" s="125">
        <f t="shared" ref="E5:E13" si="7">D5-1</f>
        <v>-1</v>
      </c>
      <c r="F5" s="301"/>
      <c r="G5" s="301"/>
      <c r="H5" s="126">
        <f t="shared" ref="H5:H13" si="8">G5*0.75</f>
        <v>0</v>
      </c>
      <c r="I5" s="301"/>
      <c r="J5" s="301"/>
      <c r="K5" s="301"/>
      <c r="L5" s="301"/>
      <c r="M5" s="126">
        <f t="shared" si="0"/>
        <v>0</v>
      </c>
      <c r="N5" s="151">
        <f t="shared" si="1"/>
        <v>0</v>
      </c>
      <c r="O5" s="151">
        <f t="shared" si="2"/>
        <v>0</v>
      </c>
      <c r="P5" s="151">
        <f t="shared" si="3"/>
        <v>0</v>
      </c>
      <c r="Q5" s="151">
        <f t="shared" ref="Q5:Q13" si="9">C5*J5</f>
        <v>0</v>
      </c>
      <c r="R5" s="151">
        <f t="shared" si="4"/>
        <v>0</v>
      </c>
      <c r="S5" s="151">
        <f t="shared" si="5"/>
        <v>0</v>
      </c>
      <c r="T5" s="151">
        <f t="shared" si="6"/>
        <v>0</v>
      </c>
      <c r="U5" s="117"/>
    </row>
    <row r="6" spans="2:22" ht="25.5" customHeight="1" x14ac:dyDescent="0.25">
      <c r="B6" s="117" t="s">
        <v>373</v>
      </c>
      <c r="C6" s="300"/>
      <c r="D6" s="300"/>
      <c r="E6" s="125">
        <f t="shared" si="7"/>
        <v>-1</v>
      </c>
      <c r="F6" s="301"/>
      <c r="G6" s="301"/>
      <c r="H6" s="126">
        <f t="shared" si="8"/>
        <v>0</v>
      </c>
      <c r="I6" s="301"/>
      <c r="J6" s="301"/>
      <c r="K6" s="301"/>
      <c r="L6" s="301"/>
      <c r="M6" s="126">
        <f t="shared" si="0"/>
        <v>0</v>
      </c>
      <c r="N6" s="151">
        <f t="shared" si="1"/>
        <v>0</v>
      </c>
      <c r="O6" s="151">
        <f t="shared" si="2"/>
        <v>0</v>
      </c>
      <c r="P6" s="151">
        <f t="shared" si="3"/>
        <v>0</v>
      </c>
      <c r="Q6" s="151">
        <f t="shared" si="9"/>
        <v>0</v>
      </c>
      <c r="R6" s="151">
        <f t="shared" si="4"/>
        <v>0</v>
      </c>
      <c r="S6" s="151">
        <f t="shared" si="5"/>
        <v>0</v>
      </c>
      <c r="T6" s="151">
        <f t="shared" si="6"/>
        <v>0</v>
      </c>
      <c r="U6" s="117"/>
    </row>
    <row r="7" spans="2:22" ht="25.5" customHeight="1" x14ac:dyDescent="0.25">
      <c r="B7" s="117" t="s">
        <v>374</v>
      </c>
      <c r="C7" s="300"/>
      <c r="D7" s="300"/>
      <c r="E7" s="125">
        <f t="shared" si="7"/>
        <v>-1</v>
      </c>
      <c r="F7" s="301"/>
      <c r="G7" s="301"/>
      <c r="H7" s="126">
        <f t="shared" si="8"/>
        <v>0</v>
      </c>
      <c r="I7" s="301"/>
      <c r="J7" s="301"/>
      <c r="K7" s="301"/>
      <c r="L7" s="301"/>
      <c r="M7" s="126">
        <f t="shared" si="0"/>
        <v>0</v>
      </c>
      <c r="N7" s="151">
        <f t="shared" si="1"/>
        <v>0</v>
      </c>
      <c r="O7" s="151">
        <f t="shared" si="2"/>
        <v>0</v>
      </c>
      <c r="P7" s="151">
        <f t="shared" si="3"/>
        <v>0</v>
      </c>
      <c r="Q7" s="151">
        <f t="shared" si="9"/>
        <v>0</v>
      </c>
      <c r="R7" s="151">
        <f t="shared" si="4"/>
        <v>0</v>
      </c>
      <c r="S7" s="151">
        <f t="shared" si="5"/>
        <v>0</v>
      </c>
      <c r="T7" s="151">
        <f t="shared" si="6"/>
        <v>0</v>
      </c>
      <c r="U7" s="117"/>
    </row>
    <row r="8" spans="2:22" ht="25.5" customHeight="1" x14ac:dyDescent="0.25">
      <c r="B8" s="117" t="s">
        <v>375</v>
      </c>
      <c r="C8" s="300"/>
      <c r="D8" s="300"/>
      <c r="E8" s="125">
        <f t="shared" si="7"/>
        <v>-1</v>
      </c>
      <c r="F8" s="301"/>
      <c r="G8" s="301"/>
      <c r="H8" s="126">
        <f t="shared" si="8"/>
        <v>0</v>
      </c>
      <c r="I8" s="301"/>
      <c r="J8" s="301"/>
      <c r="K8" s="301"/>
      <c r="L8" s="301"/>
      <c r="M8" s="126">
        <f t="shared" si="0"/>
        <v>0</v>
      </c>
      <c r="N8" s="151">
        <f t="shared" si="1"/>
        <v>0</v>
      </c>
      <c r="O8" s="151">
        <f t="shared" si="2"/>
        <v>0</v>
      </c>
      <c r="P8" s="151">
        <f t="shared" si="3"/>
        <v>0</v>
      </c>
      <c r="Q8" s="151">
        <f t="shared" si="9"/>
        <v>0</v>
      </c>
      <c r="R8" s="151">
        <f t="shared" si="4"/>
        <v>0</v>
      </c>
      <c r="S8" s="151">
        <f t="shared" si="5"/>
        <v>0</v>
      </c>
      <c r="T8" s="151">
        <f t="shared" si="6"/>
        <v>0</v>
      </c>
      <c r="U8" s="117"/>
    </row>
    <row r="9" spans="2:22" ht="25.5" customHeight="1" x14ac:dyDescent="0.25">
      <c r="B9" s="117" t="s">
        <v>376</v>
      </c>
      <c r="C9" s="300"/>
      <c r="D9" s="300"/>
      <c r="E9" s="125">
        <f t="shared" si="7"/>
        <v>-1</v>
      </c>
      <c r="F9" s="301"/>
      <c r="G9" s="301"/>
      <c r="H9" s="126">
        <f t="shared" si="8"/>
        <v>0</v>
      </c>
      <c r="I9" s="301"/>
      <c r="J9" s="301"/>
      <c r="K9" s="301"/>
      <c r="L9" s="301"/>
      <c r="M9" s="126">
        <f t="shared" si="0"/>
        <v>0</v>
      </c>
      <c r="N9" s="151">
        <f t="shared" si="1"/>
        <v>0</v>
      </c>
      <c r="O9" s="151">
        <f t="shared" si="2"/>
        <v>0</v>
      </c>
      <c r="P9" s="151">
        <f t="shared" si="3"/>
        <v>0</v>
      </c>
      <c r="Q9" s="151">
        <f t="shared" si="9"/>
        <v>0</v>
      </c>
      <c r="R9" s="151">
        <f t="shared" si="4"/>
        <v>0</v>
      </c>
      <c r="S9" s="151">
        <f t="shared" si="5"/>
        <v>0</v>
      </c>
      <c r="T9" s="151">
        <f t="shared" si="6"/>
        <v>0</v>
      </c>
      <c r="U9" s="117"/>
    </row>
    <row r="10" spans="2:22" ht="25.5" customHeight="1" x14ac:dyDescent="0.25">
      <c r="B10" s="117" t="s">
        <v>377</v>
      </c>
      <c r="C10" s="300"/>
      <c r="D10" s="300"/>
      <c r="E10" s="125">
        <f t="shared" si="7"/>
        <v>-1</v>
      </c>
      <c r="F10" s="301"/>
      <c r="G10" s="301"/>
      <c r="H10" s="126">
        <f t="shared" si="8"/>
        <v>0</v>
      </c>
      <c r="I10" s="301"/>
      <c r="J10" s="301"/>
      <c r="K10" s="301"/>
      <c r="L10" s="301"/>
      <c r="M10" s="126">
        <f t="shared" si="0"/>
        <v>0</v>
      </c>
      <c r="N10" s="151">
        <f t="shared" si="1"/>
        <v>0</v>
      </c>
      <c r="O10" s="151">
        <f t="shared" si="2"/>
        <v>0</v>
      </c>
      <c r="P10" s="151">
        <f t="shared" si="3"/>
        <v>0</v>
      </c>
      <c r="Q10" s="151">
        <f t="shared" si="9"/>
        <v>0</v>
      </c>
      <c r="R10" s="151">
        <f t="shared" si="4"/>
        <v>0</v>
      </c>
      <c r="S10" s="151">
        <f t="shared" si="5"/>
        <v>0</v>
      </c>
      <c r="T10" s="151">
        <f t="shared" si="6"/>
        <v>0</v>
      </c>
      <c r="U10" s="117"/>
    </row>
    <row r="11" spans="2:22" ht="25.5" customHeight="1" x14ac:dyDescent="0.25">
      <c r="B11" s="117" t="s">
        <v>378</v>
      </c>
      <c r="C11" s="300"/>
      <c r="D11" s="300"/>
      <c r="E11" s="125">
        <f t="shared" si="7"/>
        <v>-1</v>
      </c>
      <c r="F11" s="301"/>
      <c r="G11" s="301"/>
      <c r="H11" s="126">
        <f t="shared" si="8"/>
        <v>0</v>
      </c>
      <c r="I11" s="301"/>
      <c r="J11" s="301"/>
      <c r="K11" s="301"/>
      <c r="L11" s="301"/>
      <c r="M11" s="126">
        <f t="shared" si="0"/>
        <v>0</v>
      </c>
      <c r="N11" s="151">
        <f t="shared" si="1"/>
        <v>0</v>
      </c>
      <c r="O11" s="151">
        <f t="shared" si="2"/>
        <v>0</v>
      </c>
      <c r="P11" s="151">
        <f t="shared" si="3"/>
        <v>0</v>
      </c>
      <c r="Q11" s="151">
        <f t="shared" si="9"/>
        <v>0</v>
      </c>
      <c r="R11" s="151">
        <f t="shared" si="4"/>
        <v>0</v>
      </c>
      <c r="S11" s="151">
        <f t="shared" si="5"/>
        <v>0</v>
      </c>
      <c r="T11" s="151">
        <f t="shared" si="6"/>
        <v>0</v>
      </c>
      <c r="U11" s="117"/>
    </row>
    <row r="12" spans="2:22" ht="25.5" customHeight="1" x14ac:dyDescent="0.25">
      <c r="B12" s="117" t="s">
        <v>379</v>
      </c>
      <c r="C12" s="300"/>
      <c r="D12" s="300"/>
      <c r="E12" s="125">
        <f t="shared" si="7"/>
        <v>-1</v>
      </c>
      <c r="F12" s="301"/>
      <c r="G12" s="301"/>
      <c r="H12" s="126">
        <f t="shared" si="8"/>
        <v>0</v>
      </c>
      <c r="I12" s="301"/>
      <c r="J12" s="301"/>
      <c r="K12" s="301"/>
      <c r="L12" s="301"/>
      <c r="M12" s="126">
        <f t="shared" si="0"/>
        <v>0</v>
      </c>
      <c r="N12" s="151">
        <f t="shared" si="1"/>
        <v>0</v>
      </c>
      <c r="O12" s="151">
        <f t="shared" si="2"/>
        <v>0</v>
      </c>
      <c r="P12" s="151">
        <f t="shared" si="3"/>
        <v>0</v>
      </c>
      <c r="Q12" s="151">
        <f t="shared" si="9"/>
        <v>0</v>
      </c>
      <c r="R12" s="151">
        <f t="shared" si="4"/>
        <v>0</v>
      </c>
      <c r="S12" s="151">
        <f t="shared" si="5"/>
        <v>0</v>
      </c>
      <c r="T12" s="151">
        <f t="shared" si="6"/>
        <v>0</v>
      </c>
      <c r="U12" s="117"/>
    </row>
    <row r="13" spans="2:22" ht="25.5" customHeight="1" x14ac:dyDescent="0.25">
      <c r="B13" s="117" t="s">
        <v>380</v>
      </c>
      <c r="C13" s="300"/>
      <c r="D13" s="300"/>
      <c r="E13" s="125">
        <f t="shared" si="7"/>
        <v>-1</v>
      </c>
      <c r="F13" s="301"/>
      <c r="G13" s="301"/>
      <c r="H13" s="126">
        <f t="shared" si="8"/>
        <v>0</v>
      </c>
      <c r="I13" s="301"/>
      <c r="J13" s="301"/>
      <c r="K13" s="301"/>
      <c r="L13" s="301"/>
      <c r="M13" s="126">
        <f t="shared" si="0"/>
        <v>0</v>
      </c>
      <c r="N13" s="151">
        <f t="shared" si="1"/>
        <v>0</v>
      </c>
      <c r="O13" s="151">
        <f t="shared" si="2"/>
        <v>0</v>
      </c>
      <c r="P13" s="151">
        <f t="shared" si="3"/>
        <v>0</v>
      </c>
      <c r="Q13" s="151">
        <f t="shared" si="9"/>
        <v>0</v>
      </c>
      <c r="R13" s="151">
        <f t="shared" si="4"/>
        <v>0</v>
      </c>
      <c r="S13" s="151">
        <f t="shared" si="5"/>
        <v>0</v>
      </c>
      <c r="T13" s="151">
        <f t="shared" si="6"/>
        <v>0</v>
      </c>
      <c r="U13" s="117"/>
    </row>
    <row r="14" spans="2:22" ht="25.5" customHeight="1" x14ac:dyDescent="0.25">
      <c r="B14" s="117"/>
      <c r="C14" s="117"/>
      <c r="D14" s="117"/>
      <c r="E14" s="117"/>
      <c r="F14" s="117"/>
      <c r="G14" s="117"/>
      <c r="H14" s="117"/>
      <c r="I14" s="117"/>
      <c r="J14" s="117"/>
      <c r="K14" s="117"/>
      <c r="L14" s="117"/>
      <c r="M14" s="117"/>
      <c r="N14" s="117"/>
      <c r="O14" s="117"/>
      <c r="P14" s="117"/>
      <c r="Q14" s="117"/>
      <c r="R14" s="117"/>
      <c r="S14" s="117"/>
      <c r="T14" s="117"/>
      <c r="U14" s="117"/>
    </row>
    <row r="15" spans="2:22" ht="25.5" customHeight="1" thickBot="1" x14ac:dyDescent="0.3">
      <c r="B15" s="461" t="s">
        <v>381</v>
      </c>
      <c r="T15" s="152">
        <f>SUM(T4:T13)</f>
        <v>0</v>
      </c>
    </row>
    <row r="16" spans="2:22" ht="25.5" customHeight="1" thickTop="1" x14ac:dyDescent="0.2"/>
    <row r="18" spans="2:18" ht="25.5" customHeight="1" x14ac:dyDescent="0.35">
      <c r="B18" s="303" t="s">
        <v>382</v>
      </c>
      <c r="C18" s="966" t="s">
        <v>383</v>
      </c>
      <c r="D18" s="966"/>
      <c r="E18" s="966"/>
      <c r="F18" s="966"/>
      <c r="G18" s="966"/>
      <c r="H18" s="966"/>
      <c r="I18" s="1"/>
    </row>
    <row r="19" spans="2:18" ht="25.5" customHeight="1" x14ac:dyDescent="0.25">
      <c r="B19" s="302"/>
      <c r="C19" s="962" t="s">
        <v>384</v>
      </c>
      <c r="D19" s="962"/>
      <c r="E19" s="962"/>
      <c r="F19" s="962"/>
      <c r="G19" s="962"/>
      <c r="H19" s="962"/>
      <c r="I19" s="1"/>
      <c r="J19" s="1"/>
      <c r="K19" s="1"/>
      <c r="L19" s="1"/>
      <c r="M19" s="1"/>
      <c r="N19" s="1"/>
      <c r="O19" s="1"/>
      <c r="P19" s="1"/>
      <c r="Q19" s="1"/>
      <c r="R19" s="1"/>
    </row>
    <row r="20" spans="2:18" ht="25.5" customHeight="1" x14ac:dyDescent="0.25">
      <c r="B20" s="302"/>
      <c r="C20" s="962" t="s">
        <v>385</v>
      </c>
      <c r="D20" s="962"/>
      <c r="E20" s="962"/>
      <c r="F20" s="962"/>
      <c r="G20" s="962"/>
      <c r="H20" s="962"/>
      <c r="I20" s="199"/>
      <c r="J20" s="199"/>
      <c r="K20" s="199"/>
      <c r="L20" s="199"/>
      <c r="M20" s="199"/>
      <c r="N20" s="199"/>
      <c r="O20" s="199"/>
      <c r="P20" s="199"/>
      <c r="Q20" s="199"/>
      <c r="R20" s="199"/>
    </row>
    <row r="21" spans="2:18" ht="25.5" customHeight="1" x14ac:dyDescent="0.25">
      <c r="B21" s="302"/>
      <c r="C21" s="962" t="s">
        <v>386</v>
      </c>
      <c r="D21" s="962"/>
      <c r="E21" s="962"/>
      <c r="F21" s="962"/>
      <c r="G21" s="962"/>
      <c r="H21" s="962"/>
      <c r="I21" s="200"/>
      <c r="J21" s="200"/>
      <c r="K21" s="200"/>
      <c r="L21" s="200"/>
      <c r="M21" s="200"/>
      <c r="N21" s="200"/>
      <c r="O21" s="200"/>
      <c r="P21" s="200"/>
      <c r="Q21" s="200"/>
      <c r="R21" s="200"/>
    </row>
    <row r="22" spans="2:18" ht="25.5" customHeight="1" x14ac:dyDescent="0.25">
      <c r="B22" s="302"/>
      <c r="C22" s="963" t="s">
        <v>387</v>
      </c>
      <c r="D22" s="963"/>
      <c r="E22" s="963"/>
      <c r="F22" s="963"/>
      <c r="G22" s="963"/>
      <c r="H22" s="963"/>
      <c r="I22" s="199"/>
      <c r="J22" s="199"/>
      <c r="K22" s="199"/>
      <c r="L22" s="199"/>
      <c r="M22" s="199"/>
      <c r="N22" s="199"/>
      <c r="O22" s="199"/>
      <c r="P22" s="199"/>
      <c r="Q22" s="199"/>
      <c r="R22" s="199"/>
    </row>
    <row r="23" spans="2:18" ht="25.5" customHeight="1" x14ac:dyDescent="0.25">
      <c r="D23" s="456"/>
      <c r="E23" s="456"/>
      <c r="F23" s="456"/>
      <c r="G23" s="456"/>
      <c r="H23" s="457"/>
      <c r="I23" s="457"/>
      <c r="J23" s="457"/>
      <c r="K23" s="457"/>
      <c r="L23" s="457"/>
      <c r="M23" s="457"/>
      <c r="N23" s="458"/>
      <c r="O23" s="458"/>
      <c r="P23" s="200"/>
      <c r="Q23" s="200"/>
      <c r="R23" s="200"/>
    </row>
    <row r="24" spans="2:18" ht="25.5" customHeight="1" x14ac:dyDescent="0.25">
      <c r="C24" s="456" t="s">
        <v>388</v>
      </c>
      <c r="G24" s="1"/>
      <c r="H24" s="199"/>
      <c r="I24" s="199"/>
      <c r="J24" s="199"/>
      <c r="K24" s="199"/>
      <c r="L24" s="199"/>
      <c r="M24" s="199"/>
      <c r="N24" s="199"/>
      <c r="O24" s="199"/>
      <c r="P24" s="199"/>
      <c r="Q24" s="199"/>
      <c r="R24" s="199"/>
    </row>
    <row r="25" spans="2:18" ht="25.5" customHeight="1" x14ac:dyDescent="0.25">
      <c r="C25" s="459" t="s">
        <v>389</v>
      </c>
      <c r="D25" s="459"/>
      <c r="E25" s="459"/>
      <c r="F25" s="459"/>
      <c r="G25" s="459"/>
      <c r="H25" s="460"/>
      <c r="I25" s="460"/>
      <c r="J25" s="460"/>
      <c r="K25" s="460"/>
      <c r="L25" s="460"/>
      <c r="M25" s="460"/>
      <c r="N25" s="460"/>
      <c r="O25" s="460"/>
      <c r="P25" s="200"/>
      <c r="Q25" s="200"/>
      <c r="R25" s="200"/>
    </row>
    <row r="26" spans="2:18" ht="25.5" customHeight="1" x14ac:dyDescent="0.2">
      <c r="G26" s="1"/>
      <c r="H26" s="199"/>
      <c r="I26" s="199"/>
      <c r="J26" s="199"/>
      <c r="K26" s="199"/>
      <c r="L26" s="199"/>
      <c r="M26" s="199"/>
      <c r="N26" s="199"/>
      <c r="O26" s="199"/>
      <c r="P26" s="199"/>
      <c r="Q26" s="199"/>
      <c r="R26" s="199"/>
    </row>
  </sheetData>
  <mergeCells count="10">
    <mergeCell ref="B1:E1"/>
    <mergeCell ref="M2:S2"/>
    <mergeCell ref="C20:H20"/>
    <mergeCell ref="C18:H18"/>
    <mergeCell ref="C21:H21"/>
    <mergeCell ref="T2:T3"/>
    <mergeCell ref="C2:E2"/>
    <mergeCell ref="F2:K2"/>
    <mergeCell ref="C19:H19"/>
    <mergeCell ref="C22:H22"/>
  </mergeCells>
  <phoneticPr fontId="7" type="noConversion"/>
  <hyperlinks>
    <hyperlink ref="C21" r:id="rId1" location=":~:text=information%20technology%20solutions-,PER%20DIEM%20LOOK%2DUP,-1%20Choose%20a" display="Per Diem Loop-up based on Travel Destination" xr:uid="{17B926D8-C2A4-46C0-AE36-5CF69F3BCE34}"/>
    <hyperlink ref="C19" r:id="rId2" xr:uid="{7060C1CB-92DF-4441-B21E-947D6CB689CD}"/>
    <hyperlink ref="C20" r:id="rId3" display="Arizona General Accounting Office Travel Policies" xr:uid="{A66D3759-284F-44C9-B322-C877D4101D18}"/>
    <hyperlink ref="C20:H20" r:id="rId4" location=":~:text=General%20Travel%20Principles%20and%20Policies" display="Arizona General Accounting Office Travel Policies" xr:uid="{A1C6357D-988E-439C-B808-E3D5E126CD10}"/>
    <hyperlink ref="C22" r:id="rId5" xr:uid="{14BA19AA-4277-4F9C-B20F-FADDC5D6E41E}"/>
  </hyperlinks>
  <pageMargins left="0.7" right="0.7" top="0.75" bottom="0.75" header="0.3" footer="0.3"/>
  <pageSetup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43085-08BD-42EE-9FB8-C4A205C5CCC4}">
  <sheetPr>
    <tabColor theme="6" tint="0.39997558519241921"/>
  </sheetPr>
  <dimension ref="A1:AD66"/>
  <sheetViews>
    <sheetView showGridLines="0" topLeftCell="O5" workbookViewId="0">
      <selection activeCell="Y58" sqref="Y58"/>
    </sheetView>
  </sheetViews>
  <sheetFormatPr defaultColWidth="15.7109375" defaultRowHeight="19.5" customHeight="1" outlineLevelRow="1" outlineLevelCol="1" x14ac:dyDescent="0.2"/>
  <cols>
    <col min="1" max="1" width="3.28515625" customWidth="1"/>
    <col min="3" max="3" width="16.7109375" bestFit="1" customWidth="1"/>
    <col min="16" max="16" width="15.7109375" customWidth="1" outlineLevel="1"/>
    <col min="17" max="17" width="16.7109375" customWidth="1" outlineLevel="1"/>
    <col min="18" max="28" width="15.7109375" customWidth="1" outlineLevel="1"/>
    <col min="30" max="30" width="17.7109375" customWidth="1"/>
  </cols>
  <sheetData>
    <row r="1" spans="1:30" ht="30.75" customHeight="1" x14ac:dyDescent="0.4">
      <c r="A1" s="974" t="s">
        <v>390</v>
      </c>
      <c r="B1" s="974"/>
      <c r="C1" s="974"/>
      <c r="D1" s="974"/>
      <c r="E1" s="974"/>
    </row>
    <row r="2" spans="1:30" ht="30.75" customHeight="1" x14ac:dyDescent="0.4">
      <c r="A2" s="439"/>
      <c r="B2" s="439"/>
      <c r="C2" s="439"/>
      <c r="D2" s="439"/>
      <c r="E2" s="439"/>
      <c r="AC2" s="440" t="s">
        <v>100</v>
      </c>
      <c r="AD2" s="440"/>
    </row>
    <row r="3" spans="1:30" ht="19.5" customHeight="1" thickBot="1" x14ac:dyDescent="0.35">
      <c r="A3" s="971" t="s">
        <v>391</v>
      </c>
      <c r="B3" s="971"/>
      <c r="C3" s="971"/>
      <c r="D3" s="971"/>
      <c r="E3" s="971"/>
      <c r="F3" s="971"/>
      <c r="G3" s="971"/>
      <c r="H3" s="971"/>
      <c r="I3" s="476"/>
      <c r="J3" s="476"/>
      <c r="K3" s="476"/>
      <c r="L3" s="476"/>
      <c r="M3" s="476"/>
      <c r="N3" s="476"/>
      <c r="P3" s="971" t="s">
        <v>391</v>
      </c>
      <c r="Q3" s="971"/>
      <c r="R3" s="971"/>
      <c r="S3" s="971"/>
      <c r="T3" s="971"/>
      <c r="U3" s="971"/>
      <c r="V3" s="971"/>
      <c r="W3" s="476"/>
      <c r="X3" s="476"/>
      <c r="Y3" s="476"/>
      <c r="Z3" s="476"/>
      <c r="AA3" s="476"/>
      <c r="AB3" s="476"/>
    </row>
    <row r="4" spans="1:30" ht="19.5" customHeight="1" thickTop="1" thickBot="1" x14ac:dyDescent="0.3">
      <c r="A4" s="434"/>
      <c r="B4" s="972" t="s">
        <v>123</v>
      </c>
      <c r="C4" s="972" t="s">
        <v>124</v>
      </c>
      <c r="D4" s="970" t="s">
        <v>392</v>
      </c>
      <c r="E4" s="970"/>
      <c r="F4" s="970"/>
      <c r="G4" s="970"/>
      <c r="H4" s="970"/>
      <c r="I4" s="475"/>
      <c r="J4" s="475"/>
      <c r="K4" s="475"/>
      <c r="L4" s="475"/>
      <c r="M4" s="475"/>
      <c r="N4" s="475"/>
      <c r="P4" s="972" t="s">
        <v>123</v>
      </c>
      <c r="Q4" s="972" t="s">
        <v>124</v>
      </c>
      <c r="R4" s="970" t="s">
        <v>392</v>
      </c>
      <c r="S4" s="970"/>
      <c r="T4" s="970"/>
      <c r="U4" s="970"/>
      <c r="V4" s="970"/>
      <c r="W4" s="475"/>
      <c r="X4" s="475"/>
      <c r="Y4" s="475"/>
      <c r="Z4" s="475"/>
      <c r="AA4" s="475"/>
      <c r="AB4" s="475"/>
    </row>
    <row r="5" spans="1:30" ht="19.5" customHeight="1" thickBot="1" x14ac:dyDescent="0.3">
      <c r="A5" s="434"/>
      <c r="B5" s="972"/>
      <c r="C5" s="972"/>
      <c r="D5" s="436" t="s">
        <v>393</v>
      </c>
      <c r="E5" s="436" t="s">
        <v>394</v>
      </c>
      <c r="F5" s="436" t="s">
        <v>395</v>
      </c>
      <c r="G5" s="436" t="s">
        <v>396</v>
      </c>
      <c r="H5" s="436" t="s">
        <v>397</v>
      </c>
      <c r="I5" s="436" t="s">
        <v>398</v>
      </c>
      <c r="J5" s="436" t="s">
        <v>399</v>
      </c>
      <c r="K5" s="436" t="s">
        <v>400</v>
      </c>
      <c r="L5" s="436" t="s">
        <v>401</v>
      </c>
      <c r="M5" s="436" t="s">
        <v>402</v>
      </c>
      <c r="N5" s="436" t="s">
        <v>403</v>
      </c>
      <c r="P5" s="972"/>
      <c r="Q5" s="972"/>
      <c r="R5" s="436" t="s">
        <v>393</v>
      </c>
      <c r="S5" s="436" t="s">
        <v>394</v>
      </c>
      <c r="T5" s="436" t="s">
        <v>395</v>
      </c>
      <c r="U5" s="436" t="s">
        <v>396</v>
      </c>
      <c r="V5" s="436" t="s">
        <v>397</v>
      </c>
      <c r="W5" s="436" t="s">
        <v>398</v>
      </c>
      <c r="X5" s="436" t="s">
        <v>399</v>
      </c>
      <c r="Y5" s="436" t="s">
        <v>400</v>
      </c>
      <c r="Z5" s="436" t="s">
        <v>401</v>
      </c>
      <c r="AA5" s="436" t="s">
        <v>402</v>
      </c>
      <c r="AB5" s="436" t="s">
        <v>403</v>
      </c>
    </row>
    <row r="6" spans="1:30" ht="19.5" customHeight="1" x14ac:dyDescent="0.25">
      <c r="A6" s="434"/>
      <c r="B6" s="438">
        <f>'Budget Details'!B11</f>
        <v>0</v>
      </c>
      <c r="C6" s="437" t="str">
        <f>'Budget Details'!D11</f>
        <v>PI</v>
      </c>
      <c r="D6" s="441">
        <f>SUM('Budget Details'!AD11,'Budget Details'!AD71)</f>
        <v>0</v>
      </c>
      <c r="E6" s="441">
        <f>SUM('Budget Details'!AE11,'Budget Details'!AE71)</f>
        <v>0</v>
      </c>
      <c r="F6" s="441">
        <f>SUM('Budget Details'!AF11,'Budget Details'!AF71)</f>
        <v>0</v>
      </c>
      <c r="G6" s="441">
        <f>SUM('Budget Details'!AG11,'Budget Details'!AG71)</f>
        <v>0</v>
      </c>
      <c r="H6" s="441">
        <f>SUM('Budget Details'!AH11,'Budget Details'!AH71)</f>
        <v>0</v>
      </c>
      <c r="I6" s="441">
        <f>SUM('Budget Details'!AI11,'Budget Details'!AI71)</f>
        <v>0</v>
      </c>
      <c r="J6" s="441">
        <f>SUM('Budget Details'!AJ11,'Budget Details'!AJ71)</f>
        <v>0</v>
      </c>
      <c r="K6" s="441">
        <f>SUM('Budget Details'!AK11,'Budget Details'!AK71)</f>
        <v>0</v>
      </c>
      <c r="L6" s="441">
        <f>SUM('Budget Details'!AL11,'Budget Details'!AL71)</f>
        <v>0</v>
      </c>
      <c r="M6" s="441">
        <f>SUM('Budget Details'!AM11,'Budget Details'!AM71)</f>
        <v>0</v>
      </c>
      <c r="N6" s="477">
        <f>SUM(D6:M6)</f>
        <v>0</v>
      </c>
      <c r="P6" s="438">
        <f>'Budget Details'!BN11</f>
        <v>0</v>
      </c>
      <c r="Q6" s="437" t="str">
        <f>'Budget Details'!BP11</f>
        <v>PI</v>
      </c>
      <c r="R6" s="450">
        <f>SUM('Budget Details'!AP11,'Budget Details'!AP71)</f>
        <v>0</v>
      </c>
      <c r="S6" s="450">
        <f>SUM('Budget Details'!AQ11,'Budget Details'!AQ71)</f>
        <v>0</v>
      </c>
      <c r="T6" s="450">
        <f>SUM('Budget Details'!AR11,'Budget Details'!AR71)</f>
        <v>0</v>
      </c>
      <c r="U6" s="450">
        <f>SUM('Budget Details'!AS11,'Budget Details'!AS71)</f>
        <v>0</v>
      </c>
      <c r="V6" s="450">
        <f>SUM('Budget Details'!AT11,'Budget Details'!AT71)</f>
        <v>0</v>
      </c>
      <c r="W6" s="450">
        <f>SUM('Budget Details'!AU11,'Budget Details'!AU71)</f>
        <v>0</v>
      </c>
      <c r="X6" s="450">
        <f>SUM('Budget Details'!AV11,'Budget Details'!AV71)</f>
        <v>0</v>
      </c>
      <c r="Y6" s="450">
        <f>SUM('Budget Details'!AW11,'Budget Details'!AW71)</f>
        <v>0</v>
      </c>
      <c r="Z6" s="450">
        <f>SUM('Budget Details'!AX11,'Budget Details'!AX71)</f>
        <v>0</v>
      </c>
      <c r="AA6" s="450">
        <f>SUM('Budget Details'!AY11,'Budget Details'!AY71)</f>
        <v>0</v>
      </c>
      <c r="AB6" s="484">
        <f>SUM(R6:AA6)</f>
        <v>0</v>
      </c>
    </row>
    <row r="7" spans="1:30" ht="19.5" customHeight="1" x14ac:dyDescent="0.25">
      <c r="A7" s="434"/>
      <c r="B7" s="438">
        <f>'Budget Details'!B12</f>
        <v>0</v>
      </c>
      <c r="C7" s="437" t="str">
        <f>'Budget Details'!D12</f>
        <v>Co PI</v>
      </c>
      <c r="D7" s="441">
        <f>SUM('Budget Details'!AD12,'Budget Details'!AD72)</f>
        <v>0</v>
      </c>
      <c r="E7" s="441">
        <f>SUM('Budget Details'!AE12,'Budget Details'!AE72)</f>
        <v>0</v>
      </c>
      <c r="F7" s="441">
        <f>SUM('Budget Details'!AF12,'Budget Details'!AF72)</f>
        <v>0</v>
      </c>
      <c r="G7" s="441">
        <f>SUM('Budget Details'!AG12,'Budget Details'!AG72)</f>
        <v>0</v>
      </c>
      <c r="H7" s="441">
        <f>SUM('Budget Details'!AH12,'Budget Details'!AH72)</f>
        <v>0</v>
      </c>
      <c r="I7" s="441">
        <f>SUM('Budget Details'!AI12,'Budget Details'!AI72)</f>
        <v>0</v>
      </c>
      <c r="J7" s="441">
        <f>SUM('Budget Details'!AJ12,'Budget Details'!AJ72)</f>
        <v>0</v>
      </c>
      <c r="K7" s="441">
        <f>SUM('Budget Details'!AK12,'Budget Details'!AK72)</f>
        <v>0</v>
      </c>
      <c r="L7" s="441">
        <f>SUM('Budget Details'!AL12,'Budget Details'!AL72)</f>
        <v>0</v>
      </c>
      <c r="M7" s="441">
        <f>SUM('Budget Details'!AM12,'Budget Details'!AM72)</f>
        <v>0</v>
      </c>
      <c r="N7" s="477">
        <f t="shared" ref="N7:N25" si="0">SUM(D7:M7)</f>
        <v>0</v>
      </c>
      <c r="P7" s="438">
        <f>'Budget Details'!BN12</f>
        <v>0</v>
      </c>
      <c r="Q7" s="437" t="str">
        <f>'Budget Details'!BP12</f>
        <v>Co PI</v>
      </c>
      <c r="R7" s="450">
        <f>SUM('Budget Details'!AP12,'Budget Details'!AP72)</f>
        <v>0</v>
      </c>
      <c r="S7" s="450">
        <f>SUM('Budget Details'!AQ12,'Budget Details'!AQ72)</f>
        <v>0</v>
      </c>
      <c r="T7" s="450">
        <f>SUM('Budget Details'!AR12,'Budget Details'!AR72)</f>
        <v>0</v>
      </c>
      <c r="U7" s="450">
        <f>SUM('Budget Details'!AS12,'Budget Details'!AS72)</f>
        <v>0</v>
      </c>
      <c r="V7" s="450">
        <f>SUM('Budget Details'!AT12,'Budget Details'!AT72)</f>
        <v>0</v>
      </c>
      <c r="W7" s="450">
        <f>SUM('Budget Details'!AU12,'Budget Details'!AU72)</f>
        <v>0</v>
      </c>
      <c r="X7" s="450">
        <f>SUM('Budget Details'!AV12,'Budget Details'!AV72)</f>
        <v>0</v>
      </c>
      <c r="Y7" s="450">
        <f>SUM('Budget Details'!AW12,'Budget Details'!AW72)</f>
        <v>0</v>
      </c>
      <c r="Z7" s="450">
        <f>SUM('Budget Details'!AX12,'Budget Details'!AX72)</f>
        <v>0</v>
      </c>
      <c r="AA7" s="450">
        <f>SUM('Budget Details'!AY12,'Budget Details'!AY72)</f>
        <v>0</v>
      </c>
      <c r="AB7" s="484">
        <f t="shared" ref="AB7:AB25" si="1">SUM(R7:AA7)</f>
        <v>0</v>
      </c>
    </row>
    <row r="8" spans="1:30" ht="19.5" customHeight="1" x14ac:dyDescent="0.25">
      <c r="A8" s="434"/>
      <c r="B8" s="438">
        <f>'Budget Details'!B13</f>
        <v>0</v>
      </c>
      <c r="C8" s="437" t="str">
        <f>'Budget Details'!D13</f>
        <v>Co PI</v>
      </c>
      <c r="D8" s="441">
        <f>SUM('Budget Details'!AD13,'Budget Details'!AD73)</f>
        <v>0</v>
      </c>
      <c r="E8" s="441">
        <f>SUM('Budget Details'!AE13,'Budget Details'!AE73)</f>
        <v>0</v>
      </c>
      <c r="F8" s="441">
        <f>SUM('Budget Details'!AF13,'Budget Details'!AF73)</f>
        <v>0</v>
      </c>
      <c r="G8" s="441">
        <f>SUM('Budget Details'!AG13,'Budget Details'!AG73)</f>
        <v>0</v>
      </c>
      <c r="H8" s="441">
        <f>SUM('Budget Details'!AH13,'Budget Details'!AH73)</f>
        <v>0</v>
      </c>
      <c r="I8" s="441">
        <f>SUM('Budget Details'!AI13,'Budget Details'!AI73)</f>
        <v>0</v>
      </c>
      <c r="J8" s="441">
        <f>SUM('Budget Details'!AJ13,'Budget Details'!AJ73)</f>
        <v>0</v>
      </c>
      <c r="K8" s="441">
        <f>SUM('Budget Details'!AK13,'Budget Details'!AK73)</f>
        <v>0</v>
      </c>
      <c r="L8" s="441">
        <f>SUM('Budget Details'!AL13,'Budget Details'!AL73)</f>
        <v>0</v>
      </c>
      <c r="M8" s="441">
        <f>SUM('Budget Details'!AM13,'Budget Details'!AM73)</f>
        <v>0</v>
      </c>
      <c r="N8" s="477">
        <f t="shared" si="0"/>
        <v>0</v>
      </c>
      <c r="P8" s="438">
        <f>'Budget Details'!BN13</f>
        <v>0</v>
      </c>
      <c r="Q8" s="437" t="str">
        <f>'Budget Details'!BP13</f>
        <v>Co PI</v>
      </c>
      <c r="R8" s="450">
        <f>SUM('Budget Details'!AP13,'Budget Details'!AP73)</f>
        <v>0</v>
      </c>
      <c r="S8" s="450">
        <f>SUM('Budget Details'!AQ13,'Budget Details'!AQ73)</f>
        <v>0</v>
      </c>
      <c r="T8" s="450">
        <f>SUM('Budget Details'!AR13,'Budget Details'!AR73)</f>
        <v>0</v>
      </c>
      <c r="U8" s="450">
        <f>SUM('Budget Details'!AS13,'Budget Details'!AS73)</f>
        <v>0</v>
      </c>
      <c r="V8" s="450">
        <f>SUM('Budget Details'!AT13,'Budget Details'!AT73)</f>
        <v>0</v>
      </c>
      <c r="W8" s="450">
        <f>SUM('Budget Details'!AU13,'Budget Details'!AU73)</f>
        <v>0</v>
      </c>
      <c r="X8" s="450">
        <f>SUM('Budget Details'!AV13,'Budget Details'!AV73)</f>
        <v>0</v>
      </c>
      <c r="Y8" s="450">
        <f>SUM('Budget Details'!AW13,'Budget Details'!AW73)</f>
        <v>0</v>
      </c>
      <c r="Z8" s="450">
        <f>SUM('Budget Details'!AX13,'Budget Details'!AX73)</f>
        <v>0</v>
      </c>
      <c r="AA8" s="450">
        <f>SUM('Budget Details'!AY13,'Budget Details'!AY73)</f>
        <v>0</v>
      </c>
      <c r="AB8" s="484">
        <f t="shared" si="1"/>
        <v>0</v>
      </c>
    </row>
    <row r="9" spans="1:30" ht="19.5" customHeight="1" x14ac:dyDescent="0.25">
      <c r="A9" s="434"/>
      <c r="B9" s="438">
        <f>'Budget Details'!B14</f>
        <v>0</v>
      </c>
      <c r="C9" s="437" t="str">
        <f>'Budget Details'!D14</f>
        <v>Co PI</v>
      </c>
      <c r="D9" s="441">
        <f>SUM('Budget Details'!AD14,'Budget Details'!AD74)</f>
        <v>0</v>
      </c>
      <c r="E9" s="441">
        <f>SUM('Budget Details'!AE14,'Budget Details'!AE74)</f>
        <v>0</v>
      </c>
      <c r="F9" s="441">
        <f>SUM('Budget Details'!AF14,'Budget Details'!AF74)</f>
        <v>0</v>
      </c>
      <c r="G9" s="441">
        <f>SUM('Budget Details'!AG14,'Budget Details'!AG74)</f>
        <v>0</v>
      </c>
      <c r="H9" s="441">
        <f>SUM('Budget Details'!AH14,'Budget Details'!AH74)</f>
        <v>0</v>
      </c>
      <c r="I9" s="441">
        <f>SUM('Budget Details'!AI14,'Budget Details'!AI74)</f>
        <v>0</v>
      </c>
      <c r="J9" s="441">
        <f>SUM('Budget Details'!AJ14,'Budget Details'!AJ74)</f>
        <v>0</v>
      </c>
      <c r="K9" s="441">
        <f>SUM('Budget Details'!AK14,'Budget Details'!AK74)</f>
        <v>0</v>
      </c>
      <c r="L9" s="441">
        <f>SUM('Budget Details'!AL14,'Budget Details'!AL74)</f>
        <v>0</v>
      </c>
      <c r="M9" s="441">
        <f>SUM('Budget Details'!AM14,'Budget Details'!AM74)</f>
        <v>0</v>
      </c>
      <c r="N9" s="477">
        <f t="shared" si="0"/>
        <v>0</v>
      </c>
      <c r="P9" s="438">
        <f>'Budget Details'!BN14</f>
        <v>0</v>
      </c>
      <c r="Q9" s="437" t="str">
        <f>'Budget Details'!BP14</f>
        <v>Senior Personnel</v>
      </c>
      <c r="R9" s="450">
        <f>SUM('Budget Details'!AP14,'Budget Details'!AP74)</f>
        <v>0</v>
      </c>
      <c r="S9" s="450">
        <f>SUM('Budget Details'!AQ14,'Budget Details'!AQ74)</f>
        <v>0</v>
      </c>
      <c r="T9" s="450">
        <f>SUM('Budget Details'!AR14,'Budget Details'!AR74)</f>
        <v>0</v>
      </c>
      <c r="U9" s="450">
        <f>SUM('Budget Details'!AS14,'Budget Details'!AS74)</f>
        <v>0</v>
      </c>
      <c r="V9" s="450">
        <f>SUM('Budget Details'!AT14,'Budget Details'!AT74)</f>
        <v>0</v>
      </c>
      <c r="W9" s="450">
        <f>SUM('Budget Details'!AU14,'Budget Details'!AU74)</f>
        <v>0</v>
      </c>
      <c r="X9" s="450">
        <f>SUM('Budget Details'!AV14,'Budget Details'!AV74)</f>
        <v>0</v>
      </c>
      <c r="Y9" s="450">
        <f>SUM('Budget Details'!AW14,'Budget Details'!AW74)</f>
        <v>0</v>
      </c>
      <c r="Z9" s="450">
        <f>SUM('Budget Details'!AX14,'Budget Details'!AX74)</f>
        <v>0</v>
      </c>
      <c r="AA9" s="450">
        <f>SUM('Budget Details'!AY14,'Budget Details'!AY74)</f>
        <v>0</v>
      </c>
      <c r="AB9" s="484">
        <f t="shared" si="1"/>
        <v>0</v>
      </c>
    </row>
    <row r="10" spans="1:30" ht="19.5" customHeight="1" x14ac:dyDescent="0.25">
      <c r="A10" s="434"/>
      <c r="B10" s="438">
        <f>'Budget Details'!B15</f>
        <v>0</v>
      </c>
      <c r="C10" s="437" t="str">
        <f>'Budget Details'!D15</f>
        <v>Co PI</v>
      </c>
      <c r="D10" s="441">
        <f>SUM('Budget Details'!AD15,'Budget Details'!AD75)</f>
        <v>0</v>
      </c>
      <c r="E10" s="441">
        <f>SUM('Budget Details'!AE15,'Budget Details'!AE75)</f>
        <v>0</v>
      </c>
      <c r="F10" s="441">
        <f>SUM('Budget Details'!AF15,'Budget Details'!AF75)</f>
        <v>0</v>
      </c>
      <c r="G10" s="441">
        <f>SUM('Budget Details'!AG15,'Budget Details'!AG75)</f>
        <v>0</v>
      </c>
      <c r="H10" s="441">
        <f>SUM('Budget Details'!AH15,'Budget Details'!AH75)</f>
        <v>0</v>
      </c>
      <c r="I10" s="441">
        <f>SUM('Budget Details'!AI15,'Budget Details'!AI75)</f>
        <v>0</v>
      </c>
      <c r="J10" s="441">
        <f>SUM('Budget Details'!AJ15,'Budget Details'!AJ75)</f>
        <v>0</v>
      </c>
      <c r="K10" s="441">
        <f>SUM('Budget Details'!AK15,'Budget Details'!AK75)</f>
        <v>0</v>
      </c>
      <c r="L10" s="441">
        <f>SUM('Budget Details'!AL15,'Budget Details'!AL75)</f>
        <v>0</v>
      </c>
      <c r="M10" s="441">
        <f>SUM('Budget Details'!AM15,'Budget Details'!AM75)</f>
        <v>0</v>
      </c>
      <c r="N10" s="477">
        <f t="shared" si="0"/>
        <v>0</v>
      </c>
      <c r="P10" s="438">
        <f>'Budget Details'!BN15</f>
        <v>0</v>
      </c>
      <c r="Q10" s="437" t="str">
        <f>'Budget Details'!BP15</f>
        <v>Senior Personnel</v>
      </c>
      <c r="R10" s="450">
        <f>SUM('Budget Details'!AP15,'Budget Details'!AP75)</f>
        <v>0</v>
      </c>
      <c r="S10" s="450">
        <f>SUM('Budget Details'!AQ15,'Budget Details'!AQ75)</f>
        <v>0</v>
      </c>
      <c r="T10" s="450">
        <f>SUM('Budget Details'!AR15,'Budget Details'!AR75)</f>
        <v>0</v>
      </c>
      <c r="U10" s="450">
        <f>SUM('Budget Details'!AS15,'Budget Details'!AS75)</f>
        <v>0</v>
      </c>
      <c r="V10" s="450">
        <f>SUM('Budget Details'!AT15,'Budget Details'!AT75)</f>
        <v>0</v>
      </c>
      <c r="W10" s="450">
        <f>SUM('Budget Details'!AU15,'Budget Details'!AU75)</f>
        <v>0</v>
      </c>
      <c r="X10" s="450">
        <f>SUM('Budget Details'!AV15,'Budget Details'!AV75)</f>
        <v>0</v>
      </c>
      <c r="Y10" s="450">
        <f>SUM('Budget Details'!AW15,'Budget Details'!AW75)</f>
        <v>0</v>
      </c>
      <c r="Z10" s="450">
        <f>SUM('Budget Details'!AX15,'Budget Details'!AX75)</f>
        <v>0</v>
      </c>
      <c r="AA10" s="450">
        <f>SUM('Budget Details'!AY15,'Budget Details'!AY75)</f>
        <v>0</v>
      </c>
      <c r="AB10" s="484">
        <f t="shared" si="1"/>
        <v>0</v>
      </c>
    </row>
    <row r="11" spans="1:30" ht="19.5" customHeight="1" x14ac:dyDescent="0.25">
      <c r="A11" s="434"/>
      <c r="B11" s="438">
        <f>'Budget Details'!B16</f>
        <v>0</v>
      </c>
      <c r="C11" s="437" t="str">
        <f>'Budget Details'!D16</f>
        <v>Senior Personnel</v>
      </c>
      <c r="D11" s="441">
        <f>SUM('Budget Details'!AD16,'Budget Details'!AD76)</f>
        <v>0</v>
      </c>
      <c r="E11" s="441">
        <f>SUM('Budget Details'!AE16,'Budget Details'!AE76)</f>
        <v>0</v>
      </c>
      <c r="F11" s="441">
        <f>SUM('Budget Details'!AF16,'Budget Details'!AF76)</f>
        <v>0</v>
      </c>
      <c r="G11" s="441">
        <f>SUM('Budget Details'!AG16,'Budget Details'!AG76)</f>
        <v>0</v>
      </c>
      <c r="H11" s="441">
        <f>SUM('Budget Details'!AH16,'Budget Details'!AH76)</f>
        <v>0</v>
      </c>
      <c r="I11" s="441">
        <f>SUM('Budget Details'!AI16,'Budget Details'!AI76)</f>
        <v>0</v>
      </c>
      <c r="J11" s="441">
        <f>SUM('Budget Details'!AJ16,'Budget Details'!AJ76)</f>
        <v>0</v>
      </c>
      <c r="K11" s="441">
        <f>SUM('Budget Details'!AK16,'Budget Details'!AK76)</f>
        <v>0</v>
      </c>
      <c r="L11" s="441">
        <f>SUM('Budget Details'!AL16,'Budget Details'!AL76)</f>
        <v>0</v>
      </c>
      <c r="M11" s="441">
        <f>SUM('Budget Details'!AM16,'Budget Details'!AM76)</f>
        <v>0</v>
      </c>
      <c r="N11" s="477">
        <f t="shared" si="0"/>
        <v>0</v>
      </c>
      <c r="P11" s="438">
        <f>'Budget Details'!BN16</f>
        <v>0</v>
      </c>
      <c r="Q11" s="437" t="str">
        <f>'Budget Details'!BP16</f>
        <v>Senior Personnel</v>
      </c>
      <c r="R11" s="450">
        <f>SUM('Budget Details'!AP16,'Budget Details'!AP76)</f>
        <v>0</v>
      </c>
      <c r="S11" s="450">
        <f>SUM('Budget Details'!AQ16,'Budget Details'!AQ76)</f>
        <v>0</v>
      </c>
      <c r="T11" s="450">
        <f>SUM('Budget Details'!AR16,'Budget Details'!AR76)</f>
        <v>0</v>
      </c>
      <c r="U11" s="450">
        <f>SUM('Budget Details'!AS16,'Budget Details'!AS76)</f>
        <v>0</v>
      </c>
      <c r="V11" s="450">
        <f>SUM('Budget Details'!AT16,'Budget Details'!AT76)</f>
        <v>0</v>
      </c>
      <c r="W11" s="450">
        <f>SUM('Budget Details'!AU16,'Budget Details'!AU76)</f>
        <v>0</v>
      </c>
      <c r="X11" s="450">
        <f>SUM('Budget Details'!AV16,'Budget Details'!AV76)</f>
        <v>0</v>
      </c>
      <c r="Y11" s="450">
        <f>SUM('Budget Details'!AW16,'Budget Details'!AW76)</f>
        <v>0</v>
      </c>
      <c r="Z11" s="450">
        <f>SUM('Budget Details'!AX16,'Budget Details'!AX76)</f>
        <v>0</v>
      </c>
      <c r="AA11" s="450">
        <f>SUM('Budget Details'!AY16,'Budget Details'!AY76)</f>
        <v>0</v>
      </c>
      <c r="AB11" s="484">
        <f t="shared" si="1"/>
        <v>0</v>
      </c>
    </row>
    <row r="12" spans="1:30" ht="19.5" customHeight="1" x14ac:dyDescent="0.25">
      <c r="A12" s="434"/>
      <c r="B12" s="438">
        <f>'Budget Details'!B17</f>
        <v>0</v>
      </c>
      <c r="C12" s="437" t="str">
        <f>'Budget Details'!D17</f>
        <v>Senior Personnel</v>
      </c>
      <c r="D12" s="441">
        <f>SUM('Budget Details'!AD17,'Budget Details'!AD77)</f>
        <v>0</v>
      </c>
      <c r="E12" s="441">
        <f>SUM('Budget Details'!AE17,'Budget Details'!AE77)</f>
        <v>0</v>
      </c>
      <c r="F12" s="441">
        <f>SUM('Budget Details'!AF17,'Budget Details'!AF77)</f>
        <v>0</v>
      </c>
      <c r="G12" s="441">
        <f>SUM('Budget Details'!AG17,'Budget Details'!AG77)</f>
        <v>0</v>
      </c>
      <c r="H12" s="441">
        <f>SUM('Budget Details'!AH17,'Budget Details'!AH77)</f>
        <v>0</v>
      </c>
      <c r="I12" s="441">
        <f>SUM('Budget Details'!AI17,'Budget Details'!AI77)</f>
        <v>0</v>
      </c>
      <c r="J12" s="441">
        <f>SUM('Budget Details'!AJ17,'Budget Details'!AJ77)</f>
        <v>0</v>
      </c>
      <c r="K12" s="441">
        <f>SUM('Budget Details'!AK17,'Budget Details'!AK77)</f>
        <v>0</v>
      </c>
      <c r="L12" s="441">
        <f>SUM('Budget Details'!AL17,'Budget Details'!AL77)</f>
        <v>0</v>
      </c>
      <c r="M12" s="441">
        <f>SUM('Budget Details'!AM17,'Budget Details'!AM77)</f>
        <v>0</v>
      </c>
      <c r="N12" s="477">
        <f t="shared" si="0"/>
        <v>0</v>
      </c>
      <c r="P12" s="438">
        <f>'Budget Details'!BN17</f>
        <v>0</v>
      </c>
      <c r="Q12" s="437" t="str">
        <f>'Budget Details'!BP17</f>
        <v>Senior Personnel</v>
      </c>
      <c r="R12" s="450">
        <f>SUM('Budget Details'!AP17,'Budget Details'!AP77)</f>
        <v>0</v>
      </c>
      <c r="S12" s="450">
        <f>SUM('Budget Details'!AQ17,'Budget Details'!AQ77)</f>
        <v>0</v>
      </c>
      <c r="T12" s="450">
        <f>SUM('Budget Details'!AR17,'Budget Details'!AR77)</f>
        <v>0</v>
      </c>
      <c r="U12" s="450">
        <f>SUM('Budget Details'!AS17,'Budget Details'!AS77)</f>
        <v>0</v>
      </c>
      <c r="V12" s="450">
        <f>SUM('Budget Details'!AT17,'Budget Details'!AT77)</f>
        <v>0</v>
      </c>
      <c r="W12" s="450">
        <f>SUM('Budget Details'!AU17,'Budget Details'!AU77)</f>
        <v>0</v>
      </c>
      <c r="X12" s="450">
        <f>SUM('Budget Details'!AV17,'Budget Details'!AV77)</f>
        <v>0</v>
      </c>
      <c r="Y12" s="450">
        <f>SUM('Budget Details'!AW17,'Budget Details'!AW77)</f>
        <v>0</v>
      </c>
      <c r="Z12" s="450">
        <f>SUM('Budget Details'!AX17,'Budget Details'!AX77)</f>
        <v>0</v>
      </c>
      <c r="AA12" s="450">
        <f>SUM('Budget Details'!AY17,'Budget Details'!AY77)</f>
        <v>0</v>
      </c>
      <c r="AB12" s="484">
        <f t="shared" si="1"/>
        <v>0</v>
      </c>
    </row>
    <row r="13" spans="1:30" ht="19.5" customHeight="1" x14ac:dyDescent="0.25">
      <c r="A13" s="434"/>
      <c r="B13" s="438">
        <f>'Budget Details'!B18</f>
        <v>0</v>
      </c>
      <c r="C13" s="437" t="str">
        <f>'Budget Details'!D18</f>
        <v>Senior Personnel</v>
      </c>
      <c r="D13" s="441">
        <f>SUM('Budget Details'!AD18,'Budget Details'!AD78)</f>
        <v>0</v>
      </c>
      <c r="E13" s="441">
        <f>SUM('Budget Details'!AE18,'Budget Details'!AE78)</f>
        <v>0</v>
      </c>
      <c r="F13" s="441">
        <f>SUM('Budget Details'!AF18,'Budget Details'!AF78)</f>
        <v>0</v>
      </c>
      <c r="G13" s="441">
        <f>SUM('Budget Details'!AG18,'Budget Details'!AG78)</f>
        <v>0</v>
      </c>
      <c r="H13" s="441">
        <f>SUM('Budget Details'!AH18,'Budget Details'!AH78)</f>
        <v>0</v>
      </c>
      <c r="I13" s="441">
        <f>SUM('Budget Details'!AI18,'Budget Details'!AI78)</f>
        <v>0</v>
      </c>
      <c r="J13" s="441">
        <f>SUM('Budget Details'!AJ18,'Budget Details'!AJ78)</f>
        <v>0</v>
      </c>
      <c r="K13" s="441">
        <f>SUM('Budget Details'!AK18,'Budget Details'!AK78)</f>
        <v>0</v>
      </c>
      <c r="L13" s="441">
        <f>SUM('Budget Details'!AL18,'Budget Details'!AL78)</f>
        <v>0</v>
      </c>
      <c r="M13" s="441">
        <f>SUM('Budget Details'!AM18,'Budget Details'!AM78)</f>
        <v>0</v>
      </c>
      <c r="N13" s="477">
        <f t="shared" si="0"/>
        <v>0</v>
      </c>
      <c r="P13" s="438">
        <f>'Budget Details'!BN18</f>
        <v>0</v>
      </c>
      <c r="Q13" s="437" t="str">
        <f>'Budget Details'!BP18</f>
        <v>Senior Personnel</v>
      </c>
      <c r="R13" s="450">
        <f>SUM('Budget Details'!AP18,'Budget Details'!AP78)</f>
        <v>0</v>
      </c>
      <c r="S13" s="450">
        <f>SUM('Budget Details'!AQ18,'Budget Details'!AQ78)</f>
        <v>0</v>
      </c>
      <c r="T13" s="450">
        <f>SUM('Budget Details'!AR18,'Budget Details'!AR78)</f>
        <v>0</v>
      </c>
      <c r="U13" s="450">
        <f>SUM('Budget Details'!AS18,'Budget Details'!AS78)</f>
        <v>0</v>
      </c>
      <c r="V13" s="450">
        <f>SUM('Budget Details'!AT18,'Budget Details'!AT78)</f>
        <v>0</v>
      </c>
      <c r="W13" s="450">
        <f>SUM('Budget Details'!AU18,'Budget Details'!AU78)</f>
        <v>0</v>
      </c>
      <c r="X13" s="450">
        <f>SUM('Budget Details'!AV18,'Budget Details'!AV78)</f>
        <v>0</v>
      </c>
      <c r="Y13" s="450">
        <f>SUM('Budget Details'!AW18,'Budget Details'!AW78)</f>
        <v>0</v>
      </c>
      <c r="Z13" s="450">
        <f>SUM('Budget Details'!AX18,'Budget Details'!AX78)</f>
        <v>0</v>
      </c>
      <c r="AA13" s="450">
        <f>SUM('Budget Details'!AY18,'Budget Details'!AY78)</f>
        <v>0</v>
      </c>
      <c r="AB13" s="484">
        <f t="shared" si="1"/>
        <v>0</v>
      </c>
    </row>
    <row r="14" spans="1:30" ht="19.5" customHeight="1" x14ac:dyDescent="0.25">
      <c r="A14" s="434"/>
      <c r="B14" s="438">
        <f>'Budget Details'!B19</f>
        <v>0</v>
      </c>
      <c r="C14" s="437" t="str">
        <f>'Budget Details'!D19</f>
        <v>Senior Personnel</v>
      </c>
      <c r="D14" s="441">
        <f>SUM('Budget Details'!AD19,'Budget Details'!AD79)</f>
        <v>0</v>
      </c>
      <c r="E14" s="441">
        <f>SUM('Budget Details'!AE19,'Budget Details'!AE79)</f>
        <v>0</v>
      </c>
      <c r="F14" s="441">
        <f>SUM('Budget Details'!AF19,'Budget Details'!AF79)</f>
        <v>0</v>
      </c>
      <c r="G14" s="441">
        <f>SUM('Budget Details'!AG19,'Budget Details'!AG79)</f>
        <v>0</v>
      </c>
      <c r="H14" s="441">
        <f>SUM('Budget Details'!AH19,'Budget Details'!AH79)</f>
        <v>0</v>
      </c>
      <c r="I14" s="441">
        <f>SUM('Budget Details'!AI19,'Budget Details'!AI79)</f>
        <v>0</v>
      </c>
      <c r="J14" s="441">
        <f>SUM('Budget Details'!AJ19,'Budget Details'!AJ79)</f>
        <v>0</v>
      </c>
      <c r="K14" s="441">
        <f>SUM('Budget Details'!AK19,'Budget Details'!AK79)</f>
        <v>0</v>
      </c>
      <c r="L14" s="441">
        <f>SUM('Budget Details'!AL19,'Budget Details'!AL79)</f>
        <v>0</v>
      </c>
      <c r="M14" s="441">
        <f>SUM('Budget Details'!AM19,'Budget Details'!AM79)</f>
        <v>0</v>
      </c>
      <c r="N14" s="477">
        <f t="shared" si="0"/>
        <v>0</v>
      </c>
      <c r="P14" s="438">
        <f>'Budget Details'!BN19</f>
        <v>0</v>
      </c>
      <c r="Q14" s="437" t="str">
        <f>'Budget Details'!BP19</f>
        <v>Senior Personnel</v>
      </c>
      <c r="R14" s="450">
        <f>SUM('Budget Details'!AP19,'Budget Details'!AP79)</f>
        <v>0</v>
      </c>
      <c r="S14" s="450">
        <f>SUM('Budget Details'!AQ19,'Budget Details'!AQ79)</f>
        <v>0</v>
      </c>
      <c r="T14" s="450">
        <f>SUM('Budget Details'!AR19,'Budget Details'!AR79)</f>
        <v>0</v>
      </c>
      <c r="U14" s="450">
        <f>SUM('Budget Details'!AS19,'Budget Details'!AS79)</f>
        <v>0</v>
      </c>
      <c r="V14" s="450">
        <f>SUM('Budget Details'!AT19,'Budget Details'!AT79)</f>
        <v>0</v>
      </c>
      <c r="W14" s="450">
        <f>SUM('Budget Details'!AU19,'Budget Details'!AU79)</f>
        <v>0</v>
      </c>
      <c r="X14" s="450">
        <f>SUM('Budget Details'!AV19,'Budget Details'!AV79)</f>
        <v>0</v>
      </c>
      <c r="Y14" s="450">
        <f>SUM('Budget Details'!AW19,'Budget Details'!AW79)</f>
        <v>0</v>
      </c>
      <c r="Z14" s="450">
        <f>SUM('Budget Details'!AX19,'Budget Details'!AX79)</f>
        <v>0</v>
      </c>
      <c r="AA14" s="450">
        <f>SUM('Budget Details'!AY19,'Budget Details'!AY79)</f>
        <v>0</v>
      </c>
      <c r="AB14" s="484">
        <f t="shared" si="1"/>
        <v>0</v>
      </c>
    </row>
    <row r="15" spans="1:30" ht="19.5" customHeight="1" x14ac:dyDescent="0.25">
      <c r="A15" s="434"/>
      <c r="B15" s="438">
        <f>'Budget Details'!B20</f>
        <v>0</v>
      </c>
      <c r="C15" s="437" t="str">
        <f>'Budget Details'!D20</f>
        <v>Senior Personnel</v>
      </c>
      <c r="D15" s="441">
        <f>SUM('Budget Details'!AD20,'Budget Details'!AD80)</f>
        <v>0</v>
      </c>
      <c r="E15" s="441">
        <f>SUM('Budget Details'!AE20,'Budget Details'!AE80)</f>
        <v>0</v>
      </c>
      <c r="F15" s="441">
        <f>SUM('Budget Details'!AF20,'Budget Details'!AF80)</f>
        <v>0</v>
      </c>
      <c r="G15" s="441">
        <f>SUM('Budget Details'!AG20,'Budget Details'!AG80)</f>
        <v>0</v>
      </c>
      <c r="H15" s="441">
        <f>SUM('Budget Details'!AH20,'Budget Details'!AH80)</f>
        <v>0</v>
      </c>
      <c r="I15" s="441">
        <f>SUM('Budget Details'!AI20,'Budget Details'!AI80)</f>
        <v>0</v>
      </c>
      <c r="J15" s="441">
        <f>SUM('Budget Details'!AJ20,'Budget Details'!AJ80)</f>
        <v>0</v>
      </c>
      <c r="K15" s="441">
        <f>SUM('Budget Details'!AK20,'Budget Details'!AK80)</f>
        <v>0</v>
      </c>
      <c r="L15" s="441">
        <f>SUM('Budget Details'!AL20,'Budget Details'!AL80)</f>
        <v>0</v>
      </c>
      <c r="M15" s="441">
        <f>SUM('Budget Details'!AM20,'Budget Details'!AM80)</f>
        <v>0</v>
      </c>
      <c r="N15" s="477">
        <f t="shared" si="0"/>
        <v>0</v>
      </c>
      <c r="P15" s="438">
        <f>'Budget Details'!BN20</f>
        <v>0</v>
      </c>
      <c r="Q15" s="437" t="str">
        <f>'Budget Details'!BP20</f>
        <v>Senior Personnel</v>
      </c>
      <c r="R15" s="450">
        <f>SUM('Budget Details'!AP20,'Budget Details'!AP80)</f>
        <v>0</v>
      </c>
      <c r="S15" s="450">
        <f>SUM('Budget Details'!AQ20,'Budget Details'!AQ80)</f>
        <v>0</v>
      </c>
      <c r="T15" s="450">
        <f>SUM('Budget Details'!AR20,'Budget Details'!AR80)</f>
        <v>0</v>
      </c>
      <c r="U15" s="450">
        <f>SUM('Budget Details'!AS20,'Budget Details'!AS80)</f>
        <v>0</v>
      </c>
      <c r="V15" s="450">
        <f>SUM('Budget Details'!AT20,'Budget Details'!AT80)</f>
        <v>0</v>
      </c>
      <c r="W15" s="450">
        <f>SUM('Budget Details'!AU20,'Budget Details'!AU80)</f>
        <v>0</v>
      </c>
      <c r="X15" s="450">
        <f>SUM('Budget Details'!AV20,'Budget Details'!AV80)</f>
        <v>0</v>
      </c>
      <c r="Y15" s="450">
        <f>SUM('Budget Details'!AW20,'Budget Details'!AW80)</f>
        <v>0</v>
      </c>
      <c r="Z15" s="450">
        <f>SUM('Budget Details'!AX20,'Budget Details'!AX80)</f>
        <v>0</v>
      </c>
      <c r="AA15" s="450">
        <f>SUM('Budget Details'!AY20,'Budget Details'!AY80)</f>
        <v>0</v>
      </c>
      <c r="AB15" s="484">
        <f t="shared" si="1"/>
        <v>0</v>
      </c>
    </row>
    <row r="16" spans="1:30" ht="19.5" customHeight="1" outlineLevel="1" x14ac:dyDescent="0.25">
      <c r="A16" s="434"/>
      <c r="B16" s="438">
        <f>'Budget Details'!B21</f>
        <v>0</v>
      </c>
      <c r="C16" s="437" t="str">
        <f>'Budget Details'!D21</f>
        <v>Senior Personnel</v>
      </c>
      <c r="D16" s="441">
        <f>SUM('Budget Details'!AD21,'Budget Details'!AD81)</f>
        <v>0</v>
      </c>
      <c r="E16" s="441">
        <f>SUM('Budget Details'!AE21,'Budget Details'!AE81)</f>
        <v>0</v>
      </c>
      <c r="F16" s="441">
        <f>SUM('Budget Details'!AF21,'Budget Details'!AF81)</f>
        <v>0</v>
      </c>
      <c r="G16" s="441">
        <f>SUM('Budget Details'!AG21,'Budget Details'!AG81)</f>
        <v>0</v>
      </c>
      <c r="H16" s="441">
        <f>SUM('Budget Details'!AH21,'Budget Details'!AH81)</f>
        <v>0</v>
      </c>
      <c r="I16" s="441">
        <f>SUM('Budget Details'!AI21,'Budget Details'!AI81)</f>
        <v>0</v>
      </c>
      <c r="J16" s="441">
        <f>SUM('Budget Details'!AJ21,'Budget Details'!AJ81)</f>
        <v>0</v>
      </c>
      <c r="K16" s="441">
        <f>SUM('Budget Details'!AK21,'Budget Details'!AK81)</f>
        <v>0</v>
      </c>
      <c r="L16" s="441">
        <f>SUM('Budget Details'!AL21,'Budget Details'!AL81)</f>
        <v>0</v>
      </c>
      <c r="M16" s="441">
        <f>SUM('Budget Details'!AM21,'Budget Details'!AM81)</f>
        <v>0</v>
      </c>
      <c r="N16" s="477">
        <f t="shared" si="0"/>
        <v>0</v>
      </c>
      <c r="P16" s="438">
        <f>'Budget Details'!BN21</f>
        <v>0</v>
      </c>
      <c r="Q16" s="437" t="str">
        <f>'Budget Details'!BP21</f>
        <v>Senior Personnel</v>
      </c>
      <c r="R16" s="450">
        <f>SUM('Budget Details'!AP21,'Budget Details'!AP81)</f>
        <v>0</v>
      </c>
      <c r="S16" s="450">
        <f>SUM('Budget Details'!AQ21,'Budget Details'!AQ81)</f>
        <v>0</v>
      </c>
      <c r="T16" s="450">
        <f>SUM('Budget Details'!AR21,'Budget Details'!AR81)</f>
        <v>0</v>
      </c>
      <c r="U16" s="450">
        <f>SUM('Budget Details'!AS21,'Budget Details'!AS81)</f>
        <v>0</v>
      </c>
      <c r="V16" s="450">
        <f>SUM('Budget Details'!AT21,'Budget Details'!AT81)</f>
        <v>0</v>
      </c>
      <c r="W16" s="450">
        <f>SUM('Budget Details'!AU21,'Budget Details'!AU81)</f>
        <v>0</v>
      </c>
      <c r="X16" s="450">
        <f>SUM('Budget Details'!AV21,'Budget Details'!AV81)</f>
        <v>0</v>
      </c>
      <c r="Y16" s="450">
        <f>SUM('Budget Details'!AW21,'Budget Details'!AW81)</f>
        <v>0</v>
      </c>
      <c r="Z16" s="450">
        <f>SUM('Budget Details'!AX21,'Budget Details'!AX81)</f>
        <v>0</v>
      </c>
      <c r="AA16" s="450">
        <f>SUM('Budget Details'!AY21,'Budget Details'!AY81)</f>
        <v>0</v>
      </c>
      <c r="AB16" s="484">
        <f t="shared" si="1"/>
        <v>0</v>
      </c>
    </row>
    <row r="17" spans="1:28" ht="19.5" customHeight="1" outlineLevel="1" x14ac:dyDescent="0.25">
      <c r="A17" s="434"/>
      <c r="B17" s="438">
        <f>'Budget Details'!B22</f>
        <v>0</v>
      </c>
      <c r="C17" s="437" t="str">
        <f>'Budget Details'!D22</f>
        <v>Senior Personnel</v>
      </c>
      <c r="D17" s="441">
        <f>SUM('Budget Details'!AD22,'Budget Details'!AD82)</f>
        <v>0</v>
      </c>
      <c r="E17" s="441">
        <f>SUM('Budget Details'!AE22,'Budget Details'!AE82)</f>
        <v>0</v>
      </c>
      <c r="F17" s="441">
        <f>SUM('Budget Details'!AF22,'Budget Details'!AF82)</f>
        <v>0</v>
      </c>
      <c r="G17" s="441">
        <f>SUM('Budget Details'!AG22,'Budget Details'!AG82)</f>
        <v>0</v>
      </c>
      <c r="H17" s="441">
        <f>SUM('Budget Details'!AH22,'Budget Details'!AH82)</f>
        <v>0</v>
      </c>
      <c r="I17" s="441">
        <f>SUM('Budget Details'!AI22,'Budget Details'!AI82)</f>
        <v>0</v>
      </c>
      <c r="J17" s="441">
        <f>SUM('Budget Details'!AJ22,'Budget Details'!AJ82)</f>
        <v>0</v>
      </c>
      <c r="K17" s="441">
        <f>SUM('Budget Details'!AK22,'Budget Details'!AK82)</f>
        <v>0</v>
      </c>
      <c r="L17" s="441">
        <f>SUM('Budget Details'!AL22,'Budget Details'!AL82)</f>
        <v>0</v>
      </c>
      <c r="M17" s="441">
        <f>SUM('Budget Details'!AM22,'Budget Details'!AM82)</f>
        <v>0</v>
      </c>
      <c r="N17" s="477">
        <f t="shared" si="0"/>
        <v>0</v>
      </c>
      <c r="P17" s="438">
        <f>'Budget Details'!BN22</f>
        <v>0</v>
      </c>
      <c r="Q17" s="437" t="str">
        <f>'Budget Details'!BP22</f>
        <v>Senior Personnel</v>
      </c>
      <c r="R17" s="450">
        <f>SUM('Budget Details'!AP22,'Budget Details'!AP82)</f>
        <v>0</v>
      </c>
      <c r="S17" s="450">
        <f>SUM('Budget Details'!AQ22,'Budget Details'!AQ82)</f>
        <v>0</v>
      </c>
      <c r="T17" s="450">
        <f>SUM('Budget Details'!AR22,'Budget Details'!AR82)</f>
        <v>0</v>
      </c>
      <c r="U17" s="450">
        <f>SUM('Budget Details'!AS22,'Budget Details'!AS82)</f>
        <v>0</v>
      </c>
      <c r="V17" s="450">
        <f>SUM('Budget Details'!AT22,'Budget Details'!AT82)</f>
        <v>0</v>
      </c>
      <c r="W17" s="450">
        <f>SUM('Budget Details'!AU22,'Budget Details'!AU82)</f>
        <v>0</v>
      </c>
      <c r="X17" s="450">
        <f>SUM('Budget Details'!AV22,'Budget Details'!AV82)</f>
        <v>0</v>
      </c>
      <c r="Y17" s="450">
        <f>SUM('Budget Details'!AW22,'Budget Details'!AW82)</f>
        <v>0</v>
      </c>
      <c r="Z17" s="450">
        <f>SUM('Budget Details'!AX22,'Budget Details'!AX82)</f>
        <v>0</v>
      </c>
      <c r="AA17" s="450">
        <f>SUM('Budget Details'!AY22,'Budget Details'!AY82)</f>
        <v>0</v>
      </c>
      <c r="AB17" s="484">
        <f t="shared" si="1"/>
        <v>0</v>
      </c>
    </row>
    <row r="18" spans="1:28" ht="19.5" customHeight="1" outlineLevel="1" x14ac:dyDescent="0.25">
      <c r="A18" s="434"/>
      <c r="B18" s="438">
        <f>'Budget Details'!B23</f>
        <v>0</v>
      </c>
      <c r="C18" s="437" t="str">
        <f>'Budget Details'!D23</f>
        <v>Senior Personnel</v>
      </c>
      <c r="D18" s="441">
        <f>SUM('Budget Details'!AD23,'Budget Details'!AD83)</f>
        <v>0</v>
      </c>
      <c r="E18" s="441">
        <f>SUM('Budget Details'!AE23,'Budget Details'!AE83)</f>
        <v>0</v>
      </c>
      <c r="F18" s="441">
        <f>SUM('Budget Details'!AF23,'Budget Details'!AF83)</f>
        <v>0</v>
      </c>
      <c r="G18" s="441">
        <f>SUM('Budget Details'!AG23,'Budget Details'!AG83)</f>
        <v>0</v>
      </c>
      <c r="H18" s="441">
        <f>SUM('Budget Details'!AH23,'Budget Details'!AH83)</f>
        <v>0</v>
      </c>
      <c r="I18" s="441">
        <f>SUM('Budget Details'!AI23,'Budget Details'!AI83)</f>
        <v>0</v>
      </c>
      <c r="J18" s="441">
        <f>SUM('Budget Details'!AJ23,'Budget Details'!AJ83)</f>
        <v>0</v>
      </c>
      <c r="K18" s="441">
        <f>SUM('Budget Details'!AK23,'Budget Details'!AK83)</f>
        <v>0</v>
      </c>
      <c r="L18" s="441">
        <f>SUM('Budget Details'!AL23,'Budget Details'!AL83)</f>
        <v>0</v>
      </c>
      <c r="M18" s="441">
        <f>SUM('Budget Details'!AM23,'Budget Details'!AM83)</f>
        <v>0</v>
      </c>
      <c r="N18" s="477">
        <f t="shared" si="0"/>
        <v>0</v>
      </c>
      <c r="P18" s="438">
        <f>'Budget Details'!BN23</f>
        <v>0</v>
      </c>
      <c r="Q18" s="437" t="str">
        <f>'Budget Details'!BP23</f>
        <v>Senior Personnel</v>
      </c>
      <c r="R18" s="450">
        <f>SUM('Budget Details'!AP23,'Budget Details'!AP83)</f>
        <v>0</v>
      </c>
      <c r="S18" s="450">
        <f>SUM('Budget Details'!AQ23,'Budget Details'!AQ83)</f>
        <v>0</v>
      </c>
      <c r="T18" s="450">
        <f>SUM('Budget Details'!AR23,'Budget Details'!AR83)</f>
        <v>0</v>
      </c>
      <c r="U18" s="450">
        <f>SUM('Budget Details'!AS23,'Budget Details'!AS83)</f>
        <v>0</v>
      </c>
      <c r="V18" s="450">
        <f>SUM('Budget Details'!AT23,'Budget Details'!AT83)</f>
        <v>0</v>
      </c>
      <c r="W18" s="450">
        <f>SUM('Budget Details'!AU23,'Budget Details'!AU83)</f>
        <v>0</v>
      </c>
      <c r="X18" s="450">
        <f>SUM('Budget Details'!AV23,'Budget Details'!AV83)</f>
        <v>0</v>
      </c>
      <c r="Y18" s="450">
        <f>SUM('Budget Details'!AW23,'Budget Details'!AW83)</f>
        <v>0</v>
      </c>
      <c r="Z18" s="450">
        <f>SUM('Budget Details'!AX23,'Budget Details'!AX83)</f>
        <v>0</v>
      </c>
      <c r="AA18" s="450">
        <f>SUM('Budget Details'!AY23,'Budget Details'!AY83)</f>
        <v>0</v>
      </c>
      <c r="AB18" s="484">
        <f t="shared" si="1"/>
        <v>0</v>
      </c>
    </row>
    <row r="19" spans="1:28" ht="19.5" customHeight="1" outlineLevel="1" x14ac:dyDescent="0.25">
      <c r="A19" s="434"/>
      <c r="B19" s="438">
        <f>'Budget Details'!B24</f>
        <v>0</v>
      </c>
      <c r="C19" s="437" t="str">
        <f>'Budget Details'!D24</f>
        <v>Senior Personnel</v>
      </c>
      <c r="D19" s="441">
        <f>SUM('Budget Details'!AD24,'Budget Details'!AD84)</f>
        <v>0</v>
      </c>
      <c r="E19" s="441">
        <f>SUM('Budget Details'!AE24,'Budget Details'!AE84)</f>
        <v>0</v>
      </c>
      <c r="F19" s="441">
        <f>SUM('Budget Details'!AF24,'Budget Details'!AF84)</f>
        <v>0</v>
      </c>
      <c r="G19" s="441">
        <f>SUM('Budget Details'!AG24,'Budget Details'!AG84)</f>
        <v>0</v>
      </c>
      <c r="H19" s="441">
        <f>SUM('Budget Details'!AH24,'Budget Details'!AH84)</f>
        <v>0</v>
      </c>
      <c r="I19" s="441">
        <f>SUM('Budget Details'!AI24,'Budget Details'!AI84)</f>
        <v>0</v>
      </c>
      <c r="J19" s="441">
        <f>SUM('Budget Details'!AJ24,'Budget Details'!AJ84)</f>
        <v>0</v>
      </c>
      <c r="K19" s="441">
        <f>SUM('Budget Details'!AK24,'Budget Details'!AK84)</f>
        <v>0</v>
      </c>
      <c r="L19" s="441">
        <f>SUM('Budget Details'!AL24,'Budget Details'!AL84)</f>
        <v>0</v>
      </c>
      <c r="M19" s="441">
        <f>SUM('Budget Details'!AM24,'Budget Details'!AM84)</f>
        <v>0</v>
      </c>
      <c r="N19" s="477">
        <f t="shared" si="0"/>
        <v>0</v>
      </c>
      <c r="P19" s="438">
        <f>'Budget Details'!BN24</f>
        <v>0</v>
      </c>
      <c r="Q19" s="437" t="str">
        <f>'Budget Details'!BP24</f>
        <v>Senior Personnel</v>
      </c>
      <c r="R19" s="450">
        <f>SUM('Budget Details'!AP24,'Budget Details'!AP84)</f>
        <v>0</v>
      </c>
      <c r="S19" s="450">
        <f>SUM('Budget Details'!AQ24,'Budget Details'!AQ84)</f>
        <v>0</v>
      </c>
      <c r="T19" s="450">
        <f>SUM('Budget Details'!AR24,'Budget Details'!AR84)</f>
        <v>0</v>
      </c>
      <c r="U19" s="450">
        <f>SUM('Budget Details'!AS24,'Budget Details'!AS84)</f>
        <v>0</v>
      </c>
      <c r="V19" s="450">
        <f>SUM('Budget Details'!AT24,'Budget Details'!AT84)</f>
        <v>0</v>
      </c>
      <c r="W19" s="450">
        <f>SUM('Budget Details'!AU24,'Budget Details'!AU84)</f>
        <v>0</v>
      </c>
      <c r="X19" s="450">
        <f>SUM('Budget Details'!AV24,'Budget Details'!AV84)</f>
        <v>0</v>
      </c>
      <c r="Y19" s="450">
        <f>SUM('Budget Details'!AW24,'Budget Details'!AW84)</f>
        <v>0</v>
      </c>
      <c r="Z19" s="450">
        <f>SUM('Budget Details'!AX24,'Budget Details'!AX84)</f>
        <v>0</v>
      </c>
      <c r="AA19" s="450">
        <f>SUM('Budget Details'!AY24,'Budget Details'!AY84)</f>
        <v>0</v>
      </c>
      <c r="AB19" s="484">
        <f t="shared" si="1"/>
        <v>0</v>
      </c>
    </row>
    <row r="20" spans="1:28" ht="19.5" customHeight="1" outlineLevel="1" x14ac:dyDescent="0.25">
      <c r="A20" s="434"/>
      <c r="B20" s="438">
        <f>'Budget Details'!B25</f>
        <v>0</v>
      </c>
      <c r="C20" s="437" t="str">
        <f>'Budget Details'!D25</f>
        <v>Senior Personnel</v>
      </c>
      <c r="D20" s="441">
        <f>SUM('Budget Details'!AD25,'Budget Details'!AD85)</f>
        <v>0</v>
      </c>
      <c r="E20" s="441">
        <f>SUM('Budget Details'!AE25,'Budget Details'!AE85)</f>
        <v>0</v>
      </c>
      <c r="F20" s="441">
        <f>SUM('Budget Details'!AF25,'Budget Details'!AF85)</f>
        <v>0</v>
      </c>
      <c r="G20" s="441">
        <f>SUM('Budget Details'!AG25,'Budget Details'!AG85)</f>
        <v>0</v>
      </c>
      <c r="H20" s="441">
        <f>SUM('Budget Details'!AH25,'Budget Details'!AH85)</f>
        <v>0</v>
      </c>
      <c r="I20" s="441">
        <f>SUM('Budget Details'!AI25,'Budget Details'!AI85)</f>
        <v>0</v>
      </c>
      <c r="J20" s="441">
        <f>SUM('Budget Details'!AJ25,'Budget Details'!AJ85)</f>
        <v>0</v>
      </c>
      <c r="K20" s="441">
        <f>SUM('Budget Details'!AK25,'Budget Details'!AK85)</f>
        <v>0</v>
      </c>
      <c r="L20" s="441">
        <f>SUM('Budget Details'!AL25,'Budget Details'!AL85)</f>
        <v>0</v>
      </c>
      <c r="M20" s="441">
        <f>SUM('Budget Details'!AM25,'Budget Details'!AM85)</f>
        <v>0</v>
      </c>
      <c r="N20" s="477">
        <f t="shared" si="0"/>
        <v>0</v>
      </c>
      <c r="P20" s="438">
        <f>'Budget Details'!BN25</f>
        <v>0</v>
      </c>
      <c r="Q20" s="437" t="str">
        <f>'Budget Details'!BP25</f>
        <v>Senior Personnel</v>
      </c>
      <c r="R20" s="450">
        <f>SUM('Budget Details'!AP25,'Budget Details'!AP85)</f>
        <v>0</v>
      </c>
      <c r="S20" s="450">
        <f>SUM('Budget Details'!AQ25,'Budget Details'!AQ85)</f>
        <v>0</v>
      </c>
      <c r="T20" s="450">
        <f>SUM('Budget Details'!AR25,'Budget Details'!AR85)</f>
        <v>0</v>
      </c>
      <c r="U20" s="450">
        <f>SUM('Budget Details'!AS25,'Budget Details'!AS85)</f>
        <v>0</v>
      </c>
      <c r="V20" s="450">
        <f>SUM('Budget Details'!AT25,'Budget Details'!AT85)</f>
        <v>0</v>
      </c>
      <c r="W20" s="450">
        <f>SUM('Budget Details'!AU25,'Budget Details'!AU85)</f>
        <v>0</v>
      </c>
      <c r="X20" s="450">
        <f>SUM('Budget Details'!AV25,'Budget Details'!AV85)</f>
        <v>0</v>
      </c>
      <c r="Y20" s="450">
        <f>SUM('Budget Details'!AW25,'Budget Details'!AW85)</f>
        <v>0</v>
      </c>
      <c r="Z20" s="450">
        <f>SUM('Budget Details'!AX25,'Budget Details'!AX85)</f>
        <v>0</v>
      </c>
      <c r="AA20" s="450">
        <f>SUM('Budget Details'!AY25,'Budget Details'!AY85)</f>
        <v>0</v>
      </c>
      <c r="AB20" s="484">
        <f t="shared" si="1"/>
        <v>0</v>
      </c>
    </row>
    <row r="21" spans="1:28" ht="19.5" customHeight="1" outlineLevel="1" x14ac:dyDescent="0.25">
      <c r="A21" s="434"/>
      <c r="B21" s="438">
        <f>'Budget Details'!B26</f>
        <v>0</v>
      </c>
      <c r="C21" s="437" t="str">
        <f>'Budget Details'!D26</f>
        <v>Senior Personnel</v>
      </c>
      <c r="D21" s="441">
        <f>SUM('Budget Details'!AD26,'Budget Details'!AD86)</f>
        <v>0</v>
      </c>
      <c r="E21" s="441">
        <f>SUM('Budget Details'!AE26,'Budget Details'!AE86)</f>
        <v>0</v>
      </c>
      <c r="F21" s="441">
        <f>SUM('Budget Details'!AF26,'Budget Details'!AF86)</f>
        <v>0</v>
      </c>
      <c r="G21" s="441">
        <f>SUM('Budget Details'!AG26,'Budget Details'!AG86)</f>
        <v>0</v>
      </c>
      <c r="H21" s="441">
        <f>SUM('Budget Details'!AH26,'Budget Details'!AH86)</f>
        <v>0</v>
      </c>
      <c r="I21" s="441">
        <f>SUM('Budget Details'!AI26,'Budget Details'!AI86)</f>
        <v>0</v>
      </c>
      <c r="J21" s="441">
        <f>SUM('Budget Details'!AJ26,'Budget Details'!AJ86)</f>
        <v>0</v>
      </c>
      <c r="K21" s="441">
        <f>SUM('Budget Details'!AK26,'Budget Details'!AK86)</f>
        <v>0</v>
      </c>
      <c r="L21" s="441">
        <f>SUM('Budget Details'!AL26,'Budget Details'!AL86)</f>
        <v>0</v>
      </c>
      <c r="M21" s="441">
        <f>SUM('Budget Details'!AM26,'Budget Details'!AM86)</f>
        <v>0</v>
      </c>
      <c r="N21" s="477">
        <f t="shared" si="0"/>
        <v>0</v>
      </c>
      <c r="P21" s="438">
        <f>'Budget Details'!BN26</f>
        <v>0</v>
      </c>
      <c r="Q21" s="437" t="str">
        <f>'Budget Details'!BP26</f>
        <v>Senior Personnel</v>
      </c>
      <c r="R21" s="450">
        <f>SUM('Budget Details'!AP26,'Budget Details'!AP86)</f>
        <v>0</v>
      </c>
      <c r="S21" s="450">
        <f>SUM('Budget Details'!AQ26,'Budget Details'!AQ86)</f>
        <v>0</v>
      </c>
      <c r="T21" s="450">
        <f>SUM('Budget Details'!AR26,'Budget Details'!AR86)</f>
        <v>0</v>
      </c>
      <c r="U21" s="450">
        <f>SUM('Budget Details'!AS26,'Budget Details'!AS86)</f>
        <v>0</v>
      </c>
      <c r="V21" s="450">
        <f>SUM('Budget Details'!AT26,'Budget Details'!AT86)</f>
        <v>0</v>
      </c>
      <c r="W21" s="450">
        <f>SUM('Budget Details'!AU26,'Budget Details'!AU86)</f>
        <v>0</v>
      </c>
      <c r="X21" s="450">
        <f>SUM('Budget Details'!AV26,'Budget Details'!AV86)</f>
        <v>0</v>
      </c>
      <c r="Y21" s="450">
        <f>SUM('Budget Details'!AW26,'Budget Details'!AW86)</f>
        <v>0</v>
      </c>
      <c r="Z21" s="450">
        <f>SUM('Budget Details'!AX26,'Budget Details'!AX86)</f>
        <v>0</v>
      </c>
      <c r="AA21" s="450">
        <f>SUM('Budget Details'!AY26,'Budget Details'!AY86)</f>
        <v>0</v>
      </c>
      <c r="AB21" s="484">
        <f t="shared" si="1"/>
        <v>0</v>
      </c>
    </row>
    <row r="22" spans="1:28" ht="19.5" customHeight="1" outlineLevel="1" x14ac:dyDescent="0.25">
      <c r="A22" s="434"/>
      <c r="B22" s="438">
        <f>'Budget Details'!B27</f>
        <v>0</v>
      </c>
      <c r="C22" s="437" t="str">
        <f>'Budget Details'!D27</f>
        <v>Senior Personnel</v>
      </c>
      <c r="D22" s="441">
        <f>SUM('Budget Details'!AD27,'Budget Details'!AD87)</f>
        <v>0</v>
      </c>
      <c r="E22" s="441">
        <f>SUM('Budget Details'!AE27,'Budget Details'!AE87)</f>
        <v>0</v>
      </c>
      <c r="F22" s="441">
        <f>SUM('Budget Details'!AF27,'Budget Details'!AF87)</f>
        <v>0</v>
      </c>
      <c r="G22" s="441">
        <f>SUM('Budget Details'!AG27,'Budget Details'!AG87)</f>
        <v>0</v>
      </c>
      <c r="H22" s="441">
        <f>SUM('Budget Details'!AH27,'Budget Details'!AH87)</f>
        <v>0</v>
      </c>
      <c r="I22" s="441">
        <f>SUM('Budget Details'!AI27,'Budget Details'!AI87)</f>
        <v>0</v>
      </c>
      <c r="J22" s="441">
        <f>SUM('Budget Details'!AJ27,'Budget Details'!AJ87)</f>
        <v>0</v>
      </c>
      <c r="K22" s="441">
        <f>SUM('Budget Details'!AK27,'Budget Details'!AK87)</f>
        <v>0</v>
      </c>
      <c r="L22" s="441">
        <f>SUM('Budget Details'!AL27,'Budget Details'!AL87)</f>
        <v>0</v>
      </c>
      <c r="M22" s="441">
        <f>SUM('Budget Details'!AM27,'Budget Details'!AM87)</f>
        <v>0</v>
      </c>
      <c r="N22" s="477">
        <f t="shared" si="0"/>
        <v>0</v>
      </c>
      <c r="P22" s="438">
        <f>'Budget Details'!BN27</f>
        <v>0</v>
      </c>
      <c r="Q22" s="437" t="str">
        <f>'Budget Details'!BP27</f>
        <v>Senior Personnel</v>
      </c>
      <c r="R22" s="450">
        <f>SUM('Budget Details'!AP27,'Budget Details'!AP87)</f>
        <v>0</v>
      </c>
      <c r="S22" s="450">
        <f>SUM('Budget Details'!AQ27,'Budget Details'!AQ87)</f>
        <v>0</v>
      </c>
      <c r="T22" s="450">
        <f>SUM('Budget Details'!AR27,'Budget Details'!AR87)</f>
        <v>0</v>
      </c>
      <c r="U22" s="450">
        <f>SUM('Budget Details'!AS27,'Budget Details'!AS87)</f>
        <v>0</v>
      </c>
      <c r="V22" s="450">
        <f>SUM('Budget Details'!AT27,'Budget Details'!AT87)</f>
        <v>0</v>
      </c>
      <c r="W22" s="450">
        <f>SUM('Budget Details'!AU27,'Budget Details'!AU87)</f>
        <v>0</v>
      </c>
      <c r="X22" s="450">
        <f>SUM('Budget Details'!AV27,'Budget Details'!AV87)</f>
        <v>0</v>
      </c>
      <c r="Y22" s="450">
        <f>SUM('Budget Details'!AW27,'Budget Details'!AW87)</f>
        <v>0</v>
      </c>
      <c r="Z22" s="450">
        <f>SUM('Budget Details'!AX27,'Budget Details'!AX87)</f>
        <v>0</v>
      </c>
      <c r="AA22" s="450">
        <f>SUM('Budget Details'!AY27,'Budget Details'!AY87)</f>
        <v>0</v>
      </c>
      <c r="AB22" s="484">
        <f t="shared" si="1"/>
        <v>0</v>
      </c>
    </row>
    <row r="23" spans="1:28" ht="19.5" customHeight="1" outlineLevel="1" x14ac:dyDescent="0.25">
      <c r="A23" s="434"/>
      <c r="B23" s="438">
        <f>'Budget Details'!B28</f>
        <v>0</v>
      </c>
      <c r="C23" s="437" t="str">
        <f>'Budget Details'!D28</f>
        <v>Senior Personnel</v>
      </c>
      <c r="D23" s="441">
        <f>SUM('Budget Details'!AD28,'Budget Details'!AD88)</f>
        <v>0</v>
      </c>
      <c r="E23" s="441">
        <f>SUM('Budget Details'!AE28,'Budget Details'!AE88)</f>
        <v>0</v>
      </c>
      <c r="F23" s="441">
        <f>SUM('Budget Details'!AF28,'Budget Details'!AF88)</f>
        <v>0</v>
      </c>
      <c r="G23" s="441">
        <f>SUM('Budget Details'!AG28,'Budget Details'!AG88)</f>
        <v>0</v>
      </c>
      <c r="H23" s="441">
        <f>SUM('Budget Details'!AH28,'Budget Details'!AH88)</f>
        <v>0</v>
      </c>
      <c r="I23" s="441">
        <f>SUM('Budget Details'!AI28,'Budget Details'!AI88)</f>
        <v>0</v>
      </c>
      <c r="J23" s="441">
        <f>SUM('Budget Details'!AJ28,'Budget Details'!AJ88)</f>
        <v>0</v>
      </c>
      <c r="K23" s="441">
        <f>SUM('Budget Details'!AK28,'Budget Details'!AK88)</f>
        <v>0</v>
      </c>
      <c r="L23" s="441">
        <f>SUM('Budget Details'!AL28,'Budget Details'!AL88)</f>
        <v>0</v>
      </c>
      <c r="M23" s="441">
        <f>SUM('Budget Details'!AM28,'Budget Details'!AM88)</f>
        <v>0</v>
      </c>
      <c r="N23" s="477">
        <f t="shared" si="0"/>
        <v>0</v>
      </c>
      <c r="P23" s="438">
        <f>'Budget Details'!BN28</f>
        <v>0</v>
      </c>
      <c r="Q23" s="437" t="str">
        <f>'Budget Details'!BP28</f>
        <v>Senior Personnel</v>
      </c>
      <c r="R23" s="450">
        <f>SUM('Budget Details'!AP28,'Budget Details'!AP88)</f>
        <v>0</v>
      </c>
      <c r="S23" s="450">
        <f>SUM('Budget Details'!AQ28,'Budget Details'!AQ88)</f>
        <v>0</v>
      </c>
      <c r="T23" s="450">
        <f>SUM('Budget Details'!AR28,'Budget Details'!AR88)</f>
        <v>0</v>
      </c>
      <c r="U23" s="450">
        <f>SUM('Budget Details'!AS28,'Budget Details'!AS88)</f>
        <v>0</v>
      </c>
      <c r="V23" s="450">
        <f>SUM('Budget Details'!AT28,'Budget Details'!AT88)</f>
        <v>0</v>
      </c>
      <c r="W23" s="450">
        <f>SUM('Budget Details'!AU28,'Budget Details'!AU88)</f>
        <v>0</v>
      </c>
      <c r="X23" s="450">
        <f>SUM('Budget Details'!AV28,'Budget Details'!AV88)</f>
        <v>0</v>
      </c>
      <c r="Y23" s="450">
        <f>SUM('Budget Details'!AW28,'Budget Details'!AW88)</f>
        <v>0</v>
      </c>
      <c r="Z23" s="450">
        <f>SUM('Budget Details'!AX28,'Budget Details'!AX88)</f>
        <v>0</v>
      </c>
      <c r="AA23" s="450">
        <f>SUM('Budget Details'!AY28,'Budget Details'!AY88)</f>
        <v>0</v>
      </c>
      <c r="AB23" s="484">
        <f t="shared" si="1"/>
        <v>0</v>
      </c>
    </row>
    <row r="24" spans="1:28" ht="19.5" customHeight="1" outlineLevel="1" x14ac:dyDescent="0.25">
      <c r="A24" s="434"/>
      <c r="B24" s="438">
        <f>'Budget Details'!B29</f>
        <v>0</v>
      </c>
      <c r="C24" s="437" t="str">
        <f>'Budget Details'!D29</f>
        <v>Senior Personnel</v>
      </c>
      <c r="D24" s="441">
        <f>SUM('Budget Details'!AD29,'Budget Details'!AD89)</f>
        <v>0</v>
      </c>
      <c r="E24" s="441">
        <f>SUM('Budget Details'!AE29,'Budget Details'!AE89)</f>
        <v>0</v>
      </c>
      <c r="F24" s="441">
        <f>SUM('Budget Details'!AF29,'Budget Details'!AF89)</f>
        <v>0</v>
      </c>
      <c r="G24" s="441">
        <f>SUM('Budget Details'!AG29,'Budget Details'!AG89)</f>
        <v>0</v>
      </c>
      <c r="H24" s="441">
        <f>SUM('Budget Details'!AH29,'Budget Details'!AH89)</f>
        <v>0</v>
      </c>
      <c r="I24" s="441">
        <f>SUM('Budget Details'!AI29,'Budget Details'!AI89)</f>
        <v>0</v>
      </c>
      <c r="J24" s="441">
        <f>SUM('Budget Details'!AJ29,'Budget Details'!AJ89)</f>
        <v>0</v>
      </c>
      <c r="K24" s="441">
        <f>SUM('Budget Details'!AK29,'Budget Details'!AK89)</f>
        <v>0</v>
      </c>
      <c r="L24" s="441">
        <f>SUM('Budget Details'!AL29,'Budget Details'!AL89)</f>
        <v>0</v>
      </c>
      <c r="M24" s="441">
        <f>SUM('Budget Details'!AM29,'Budget Details'!AM89)</f>
        <v>0</v>
      </c>
      <c r="N24" s="477">
        <f t="shared" si="0"/>
        <v>0</v>
      </c>
      <c r="P24" s="438">
        <f>'Budget Details'!BN29</f>
        <v>0</v>
      </c>
      <c r="Q24" s="437" t="str">
        <f>'Budget Details'!BP29</f>
        <v>Senior Personnel</v>
      </c>
      <c r="R24" s="450">
        <f>SUM('Budget Details'!AP29,'Budget Details'!AP89)</f>
        <v>0</v>
      </c>
      <c r="S24" s="450">
        <f>SUM('Budget Details'!AQ29,'Budget Details'!AQ89)</f>
        <v>0</v>
      </c>
      <c r="T24" s="450">
        <f>SUM('Budget Details'!AR29,'Budget Details'!AR89)</f>
        <v>0</v>
      </c>
      <c r="U24" s="450">
        <f>SUM('Budget Details'!AS29,'Budget Details'!AS89)</f>
        <v>0</v>
      </c>
      <c r="V24" s="450">
        <f>SUM('Budget Details'!AT29,'Budget Details'!AT89)</f>
        <v>0</v>
      </c>
      <c r="W24" s="450">
        <f>SUM('Budget Details'!AU29,'Budget Details'!AU89)</f>
        <v>0</v>
      </c>
      <c r="X24" s="450">
        <f>SUM('Budget Details'!AV29,'Budget Details'!AV89)</f>
        <v>0</v>
      </c>
      <c r="Y24" s="450">
        <f>SUM('Budget Details'!AW29,'Budget Details'!AW89)</f>
        <v>0</v>
      </c>
      <c r="Z24" s="450">
        <f>SUM('Budget Details'!AX29,'Budget Details'!AX89)</f>
        <v>0</v>
      </c>
      <c r="AA24" s="450">
        <f>SUM('Budget Details'!AY29,'Budget Details'!AY89)</f>
        <v>0</v>
      </c>
      <c r="AB24" s="484">
        <f t="shared" si="1"/>
        <v>0</v>
      </c>
    </row>
    <row r="25" spans="1:28" ht="19.5" customHeight="1" outlineLevel="1" x14ac:dyDescent="0.25">
      <c r="A25" s="434"/>
      <c r="B25" s="463">
        <f>'Budget Details'!B30</f>
        <v>0</v>
      </c>
      <c r="C25" s="464" t="str">
        <f>'Budget Details'!D30</f>
        <v>Senior Personnel</v>
      </c>
      <c r="D25" s="465">
        <f>SUM('Budget Details'!AD30,'Budget Details'!AD90)</f>
        <v>0</v>
      </c>
      <c r="E25" s="465">
        <f>SUM('Budget Details'!AE30,'Budget Details'!AE90)</f>
        <v>0</v>
      </c>
      <c r="F25" s="465">
        <f>SUM('Budget Details'!AF30,'Budget Details'!AF90)</f>
        <v>0</v>
      </c>
      <c r="G25" s="465">
        <f>SUM('Budget Details'!AG30,'Budget Details'!AG90)</f>
        <v>0</v>
      </c>
      <c r="H25" s="465">
        <f>SUM('Budget Details'!AH30,'Budget Details'!AH90)</f>
        <v>0</v>
      </c>
      <c r="I25" s="441">
        <f>SUM('Budget Details'!AI30,'Budget Details'!AI90)</f>
        <v>0</v>
      </c>
      <c r="J25" s="441">
        <f>SUM('Budget Details'!AJ30,'Budget Details'!AJ90)</f>
        <v>0</v>
      </c>
      <c r="K25" s="441">
        <f>SUM('Budget Details'!AK30,'Budget Details'!AK90)</f>
        <v>0</v>
      </c>
      <c r="L25" s="441">
        <f>SUM('Budget Details'!AL30,'Budget Details'!AL90)</f>
        <v>0</v>
      </c>
      <c r="M25" s="441">
        <f>SUM('Budget Details'!AM30,'Budget Details'!AM90)</f>
        <v>0</v>
      </c>
      <c r="N25" s="477">
        <f t="shared" si="0"/>
        <v>0</v>
      </c>
      <c r="P25" s="463">
        <f>'Budget Details'!BN30</f>
        <v>0</v>
      </c>
      <c r="Q25" s="464" t="str">
        <f>'Budget Details'!BP30</f>
        <v>Senior Personnel</v>
      </c>
      <c r="R25" s="469">
        <f>SUM('Budget Details'!AP30,'Budget Details'!AP90)</f>
        <v>0</v>
      </c>
      <c r="S25" s="469">
        <f>SUM('Budget Details'!AQ30,'Budget Details'!AQ90)</f>
        <v>0</v>
      </c>
      <c r="T25" s="469">
        <f>SUM('Budget Details'!AR30,'Budget Details'!AR90)</f>
        <v>0</v>
      </c>
      <c r="U25" s="469">
        <f>SUM('Budget Details'!AS30,'Budget Details'!AS90)</f>
        <v>0</v>
      </c>
      <c r="V25" s="469">
        <f>SUM('Budget Details'!AT30,'Budget Details'!AT90)</f>
        <v>0</v>
      </c>
      <c r="W25" s="450">
        <f>SUM('Budget Details'!AU30,'Budget Details'!AU90)</f>
        <v>0</v>
      </c>
      <c r="X25" s="450">
        <f>SUM('Budget Details'!AV30,'Budget Details'!AV90)</f>
        <v>0</v>
      </c>
      <c r="Y25" s="450">
        <f>SUM('Budget Details'!AW30,'Budget Details'!AW90)</f>
        <v>0</v>
      </c>
      <c r="Z25" s="450">
        <f>SUM('Budget Details'!AX30,'Budget Details'!AX90)</f>
        <v>0</v>
      </c>
      <c r="AA25" s="450">
        <f>SUM('Budget Details'!AY30,'Budget Details'!AY90)</f>
        <v>0</v>
      </c>
      <c r="AB25" s="484">
        <f t="shared" si="1"/>
        <v>0</v>
      </c>
    </row>
    <row r="26" spans="1:28" ht="19.5" customHeight="1" x14ac:dyDescent="0.25">
      <c r="A26" s="434"/>
      <c r="B26" s="973" t="s">
        <v>403</v>
      </c>
      <c r="C26" s="973"/>
      <c r="D26" s="468">
        <f>SUM(D6:D25)</f>
        <v>0</v>
      </c>
      <c r="E26" s="468">
        <f t="shared" ref="E26:M26" si="2">SUM(E6:E25)</f>
        <v>0</v>
      </c>
      <c r="F26" s="468">
        <f t="shared" si="2"/>
        <v>0</v>
      </c>
      <c r="G26" s="468">
        <f t="shared" si="2"/>
        <v>0</v>
      </c>
      <c r="H26" s="468">
        <f t="shared" si="2"/>
        <v>0</v>
      </c>
      <c r="I26" s="468">
        <f t="shared" si="2"/>
        <v>0</v>
      </c>
      <c r="J26" s="468">
        <f t="shared" si="2"/>
        <v>0</v>
      </c>
      <c r="K26" s="468">
        <f t="shared" si="2"/>
        <v>0</v>
      </c>
      <c r="L26" s="468">
        <f t="shared" si="2"/>
        <v>0</v>
      </c>
      <c r="M26" s="468">
        <f t="shared" si="2"/>
        <v>0</v>
      </c>
      <c r="N26" s="477">
        <f>SUM(D26:M26)</f>
        <v>0</v>
      </c>
      <c r="P26" s="967" t="s">
        <v>404</v>
      </c>
      <c r="Q26" s="967"/>
      <c r="R26" s="470">
        <f>SUM(R6:R25)</f>
        <v>0</v>
      </c>
      <c r="S26" s="470">
        <f t="shared" ref="S26:AA26" si="3">SUM(S6:S25)</f>
        <v>0</v>
      </c>
      <c r="T26" s="470">
        <f t="shared" si="3"/>
        <v>0</v>
      </c>
      <c r="U26" s="470">
        <f t="shared" si="3"/>
        <v>0</v>
      </c>
      <c r="V26" s="470">
        <f t="shared" si="3"/>
        <v>0</v>
      </c>
      <c r="W26" s="470">
        <f t="shared" si="3"/>
        <v>0</v>
      </c>
      <c r="X26" s="470">
        <f t="shared" si="3"/>
        <v>0</v>
      </c>
      <c r="Y26" s="470">
        <f t="shared" si="3"/>
        <v>0</v>
      </c>
      <c r="Z26" s="470">
        <f t="shared" si="3"/>
        <v>0</v>
      </c>
      <c r="AA26" s="470">
        <f t="shared" si="3"/>
        <v>0</v>
      </c>
      <c r="AB26" s="484">
        <f>SUM(R26:AA26)</f>
        <v>0</v>
      </c>
    </row>
    <row r="27" spans="1:28" ht="19.5" customHeight="1" x14ac:dyDescent="0.25">
      <c r="A27" s="434"/>
      <c r="B27" s="434"/>
      <c r="C27" s="434"/>
      <c r="D27" s="435"/>
      <c r="E27" s="435"/>
      <c r="F27" s="435"/>
      <c r="G27" s="435"/>
      <c r="H27" s="435"/>
      <c r="I27" s="435"/>
      <c r="J27" s="435"/>
      <c r="K27" s="435"/>
      <c r="L27" s="435"/>
      <c r="M27" s="435"/>
      <c r="N27" s="435"/>
      <c r="P27" s="434"/>
      <c r="Q27" s="434"/>
      <c r="R27" s="435"/>
      <c r="S27" s="435"/>
      <c r="T27" s="435"/>
      <c r="U27" s="435"/>
      <c r="V27" s="435"/>
      <c r="W27" s="435"/>
      <c r="X27" s="435"/>
      <c r="Y27" s="435"/>
      <c r="Z27" s="435"/>
      <c r="AA27" s="435"/>
      <c r="AB27" s="435"/>
    </row>
    <row r="28" spans="1:28" ht="19.5" customHeight="1" thickBot="1" x14ac:dyDescent="0.35">
      <c r="A28" s="971" t="s">
        <v>405</v>
      </c>
      <c r="B28" s="971"/>
      <c r="C28" s="971"/>
      <c r="D28" s="971"/>
      <c r="E28" s="971"/>
      <c r="F28" s="971"/>
      <c r="G28" s="971"/>
      <c r="H28" s="971"/>
      <c r="I28" s="476"/>
      <c r="J28" s="476"/>
      <c r="K28" s="476"/>
      <c r="L28" s="476"/>
      <c r="M28" s="476"/>
      <c r="N28" s="476"/>
      <c r="P28" s="971" t="s">
        <v>405</v>
      </c>
      <c r="Q28" s="971"/>
      <c r="R28" s="971"/>
      <c r="S28" s="971"/>
      <c r="T28" s="971"/>
      <c r="U28" s="971"/>
      <c r="V28" s="971"/>
      <c r="W28" s="476"/>
      <c r="X28" s="476"/>
      <c r="Y28" s="476"/>
      <c r="Z28" s="476"/>
      <c r="AA28" s="476"/>
      <c r="AB28" s="476"/>
    </row>
    <row r="29" spans="1:28" ht="28.5" customHeight="1" thickTop="1" thickBot="1" x14ac:dyDescent="0.3">
      <c r="A29" s="434"/>
      <c r="B29" s="972" t="s">
        <v>406</v>
      </c>
      <c r="C29" s="972"/>
      <c r="D29" s="970" t="s">
        <v>407</v>
      </c>
      <c r="E29" s="970"/>
      <c r="F29" s="970"/>
      <c r="G29" s="970"/>
      <c r="H29" s="970"/>
      <c r="I29" s="475"/>
      <c r="J29" s="475"/>
      <c r="K29" s="475"/>
      <c r="L29" s="475"/>
      <c r="M29" s="475"/>
      <c r="N29" s="475"/>
      <c r="P29" s="975" t="s">
        <v>406</v>
      </c>
      <c r="Q29" s="975"/>
      <c r="R29" s="970" t="s">
        <v>407</v>
      </c>
      <c r="S29" s="970"/>
      <c r="T29" s="970"/>
      <c r="U29" s="970"/>
      <c r="V29" s="970"/>
      <c r="W29" s="475"/>
      <c r="X29" s="475"/>
      <c r="Y29" s="475"/>
      <c r="Z29" s="475"/>
      <c r="AA29" s="475"/>
      <c r="AB29" s="475"/>
    </row>
    <row r="30" spans="1:28" ht="19.5" customHeight="1" thickBot="1" x14ac:dyDescent="0.3">
      <c r="A30" s="434"/>
      <c r="B30" s="972"/>
      <c r="C30" s="972"/>
      <c r="D30" s="436" t="s">
        <v>408</v>
      </c>
      <c r="E30" s="436" t="s">
        <v>394</v>
      </c>
      <c r="F30" s="436" t="s">
        <v>395</v>
      </c>
      <c r="G30" s="436" t="s">
        <v>396</v>
      </c>
      <c r="H30" s="436" t="s">
        <v>397</v>
      </c>
      <c r="I30" s="436" t="s">
        <v>398</v>
      </c>
      <c r="J30" s="436" t="s">
        <v>399</v>
      </c>
      <c r="K30" s="436" t="s">
        <v>400</v>
      </c>
      <c r="L30" s="436" t="s">
        <v>401</v>
      </c>
      <c r="M30" s="436" t="s">
        <v>402</v>
      </c>
      <c r="N30" s="436" t="s">
        <v>403</v>
      </c>
      <c r="P30" s="976"/>
      <c r="Q30" s="976"/>
      <c r="R30" s="436" t="s">
        <v>408</v>
      </c>
      <c r="S30" s="436" t="s">
        <v>394</v>
      </c>
      <c r="T30" s="436" t="s">
        <v>395</v>
      </c>
      <c r="U30" s="436" t="s">
        <v>396</v>
      </c>
      <c r="V30" s="436" t="s">
        <v>397</v>
      </c>
      <c r="W30" s="436" t="s">
        <v>398</v>
      </c>
      <c r="X30" s="436" t="s">
        <v>399</v>
      </c>
      <c r="Y30" s="436" t="s">
        <v>400</v>
      </c>
      <c r="Z30" s="436" t="s">
        <v>401</v>
      </c>
      <c r="AA30" s="436" t="s">
        <v>402</v>
      </c>
      <c r="AB30" s="436" t="s">
        <v>403</v>
      </c>
    </row>
    <row r="31" spans="1:28" ht="19.5" customHeight="1" x14ac:dyDescent="0.25">
      <c r="A31" s="434"/>
      <c r="B31" s="969" t="str">
        <f>'Budget Details'!C34</f>
        <v>Research Assistant</v>
      </c>
      <c r="C31" s="969"/>
      <c r="D31" s="27">
        <f>SUM('Budget Details'!AD34,'Budget Details'!AD94)</f>
        <v>0</v>
      </c>
      <c r="E31" s="27">
        <f>SUM('Budget Details'!AE34,'Budget Details'!AE94)</f>
        <v>0</v>
      </c>
      <c r="F31" s="27">
        <f>SUM('Budget Details'!AF34,'Budget Details'!AF94)</f>
        <v>0</v>
      </c>
      <c r="G31" s="27">
        <f>SUM('Budget Details'!AG34,'Budget Details'!AG94)</f>
        <v>0</v>
      </c>
      <c r="H31" s="27">
        <f>SUM('Budget Details'!AH34,'Budget Details'!AH94)</f>
        <v>0</v>
      </c>
      <c r="I31" s="27">
        <f>SUM('Budget Details'!AI34,'Budget Details'!AI94)</f>
        <v>0</v>
      </c>
      <c r="J31" s="27">
        <f>SUM('Budget Details'!AJ34,'Budget Details'!AJ94)</f>
        <v>0</v>
      </c>
      <c r="K31" s="27">
        <f>SUM('Budget Details'!AK34,'Budget Details'!AK94)</f>
        <v>0</v>
      </c>
      <c r="L31" s="27">
        <f>SUM('Budget Details'!AL34,'Budget Details'!AL94)</f>
        <v>0</v>
      </c>
      <c r="M31" s="27">
        <f>SUM('Budget Details'!AM34,'Budget Details'!AM94)</f>
        <v>0</v>
      </c>
      <c r="N31" s="478">
        <f>SUM(D31:M31)</f>
        <v>0</v>
      </c>
      <c r="P31" s="969" t="str">
        <f>'Budget Details'!BO34</f>
        <v>Research Assistant</v>
      </c>
      <c r="Q31" s="969"/>
      <c r="R31" s="451">
        <f>SUM('Budget Details'!AP34,'Budget Details'!AP94)</f>
        <v>0</v>
      </c>
      <c r="S31" s="451">
        <f>SUM('Budget Details'!AQ34,'Budget Details'!AQ94)</f>
        <v>0</v>
      </c>
      <c r="T31" s="451">
        <f>SUM('Budget Details'!AR34,'Budget Details'!AR94)</f>
        <v>0</v>
      </c>
      <c r="U31" s="451">
        <f>SUM('Budget Details'!AS34,'Budget Details'!AS94)</f>
        <v>0</v>
      </c>
      <c r="V31" s="451">
        <f>SUM('Budget Details'!AT34,'Budget Details'!AT94)</f>
        <v>0</v>
      </c>
      <c r="W31" s="451">
        <f>SUM('Budget Details'!AU34,'Budget Details'!AU94)</f>
        <v>0</v>
      </c>
      <c r="X31" s="451">
        <f>SUM('Budget Details'!AV34,'Budget Details'!AV94)</f>
        <v>0</v>
      </c>
      <c r="Y31" s="451">
        <f>SUM('Budget Details'!AW34,'Budget Details'!AW94)</f>
        <v>0</v>
      </c>
      <c r="Z31" s="451">
        <f>SUM('Budget Details'!AX34,'Budget Details'!AX94)</f>
        <v>0</v>
      </c>
      <c r="AA31" s="451">
        <f>SUM('Budget Details'!AY34,'Budget Details'!AY94)</f>
        <v>0</v>
      </c>
      <c r="AB31" s="485">
        <f>SUM(R31:AA31)</f>
        <v>0</v>
      </c>
    </row>
    <row r="32" spans="1:28" ht="19.5" customHeight="1" x14ac:dyDescent="0.25">
      <c r="A32" s="434"/>
      <c r="B32" s="969" t="str">
        <f>'Budget Details'!C35</f>
        <v>Post-Doc</v>
      </c>
      <c r="C32" s="969"/>
      <c r="D32" s="27">
        <f>SUM('Budget Details'!AD35,'Budget Details'!AD95)</f>
        <v>0</v>
      </c>
      <c r="E32" s="27">
        <f>SUM('Budget Details'!AE35,'Budget Details'!AE95)</f>
        <v>0</v>
      </c>
      <c r="F32" s="27">
        <f>SUM('Budget Details'!AF35,'Budget Details'!AF95)</f>
        <v>0</v>
      </c>
      <c r="G32" s="27">
        <f>SUM('Budget Details'!AG35,'Budget Details'!AG95)</f>
        <v>0</v>
      </c>
      <c r="H32" s="27">
        <f>SUM('Budget Details'!AH35,'Budget Details'!AH95)</f>
        <v>0</v>
      </c>
      <c r="I32" s="27">
        <f>SUM('Budget Details'!AI35,'Budget Details'!AI95)</f>
        <v>0</v>
      </c>
      <c r="J32" s="27">
        <f>SUM('Budget Details'!AJ35,'Budget Details'!AJ95)</f>
        <v>0</v>
      </c>
      <c r="K32" s="27">
        <f>SUM('Budget Details'!AK35,'Budget Details'!AK95)</f>
        <v>0</v>
      </c>
      <c r="L32" s="27">
        <f>SUM('Budget Details'!AL35,'Budget Details'!AL95)</f>
        <v>0</v>
      </c>
      <c r="M32" s="27">
        <f>SUM('Budget Details'!AM35,'Budget Details'!AM95)</f>
        <v>0</v>
      </c>
      <c r="N32" s="478">
        <f t="shared" ref="N32:N50" si="4">SUM(D32:M32)</f>
        <v>0</v>
      </c>
      <c r="P32" s="969" t="str">
        <f>'Budget Details'!BO35</f>
        <v>Post-Doc</v>
      </c>
      <c r="Q32" s="969"/>
      <c r="R32" s="451">
        <f>SUM('Budget Details'!AP35,'Budget Details'!AP95)</f>
        <v>0</v>
      </c>
      <c r="S32" s="451">
        <f>SUM('Budget Details'!AQ35,'Budget Details'!AQ95)</f>
        <v>0</v>
      </c>
      <c r="T32" s="451">
        <f>SUM('Budget Details'!AR35,'Budget Details'!AR95)</f>
        <v>0</v>
      </c>
      <c r="U32" s="451">
        <f>SUM('Budget Details'!AS35,'Budget Details'!AS95)</f>
        <v>0</v>
      </c>
      <c r="V32" s="451">
        <f>SUM('Budget Details'!AT35,'Budget Details'!AT95)</f>
        <v>0</v>
      </c>
      <c r="W32" s="451">
        <f>SUM('Budget Details'!AU35,'Budget Details'!AU95)</f>
        <v>0</v>
      </c>
      <c r="X32" s="451">
        <f>SUM('Budget Details'!AV35,'Budget Details'!AV95)</f>
        <v>0</v>
      </c>
      <c r="Y32" s="451">
        <f>SUM('Budget Details'!AW35,'Budget Details'!AW95)</f>
        <v>0</v>
      </c>
      <c r="Z32" s="451">
        <f>SUM('Budget Details'!AX35,'Budget Details'!AX95)</f>
        <v>0</v>
      </c>
      <c r="AA32" s="451">
        <f>SUM('Budget Details'!AY35,'Budget Details'!AY95)</f>
        <v>0</v>
      </c>
      <c r="AB32" s="485">
        <f t="shared" ref="AB32:AB50" si="5">SUM(R32:AA32)</f>
        <v>0</v>
      </c>
    </row>
    <row r="33" spans="1:28" ht="19.5" customHeight="1" x14ac:dyDescent="0.25">
      <c r="A33" s="434"/>
      <c r="B33" s="969" t="str">
        <f>'Budget Details'!C36</f>
        <v xml:space="preserve">Undergrad - AY </v>
      </c>
      <c r="C33" s="969"/>
      <c r="D33" s="27">
        <f>SUM('Budget Details'!AD36,'Budget Details'!AD96)</f>
        <v>0</v>
      </c>
      <c r="E33" s="27">
        <f>SUM('Budget Details'!AE36,'Budget Details'!AE96)</f>
        <v>0</v>
      </c>
      <c r="F33" s="27">
        <f>SUM('Budget Details'!AF36,'Budget Details'!AF96)</f>
        <v>0</v>
      </c>
      <c r="G33" s="27">
        <f>SUM('Budget Details'!AG36,'Budget Details'!AG96)</f>
        <v>0</v>
      </c>
      <c r="H33" s="27">
        <f>SUM('Budget Details'!AH36,'Budget Details'!AH96)</f>
        <v>0</v>
      </c>
      <c r="I33" s="27">
        <f>SUM('Budget Details'!AI36,'Budget Details'!AI96)</f>
        <v>0</v>
      </c>
      <c r="J33" s="27">
        <f>SUM('Budget Details'!AJ36,'Budget Details'!AJ96)</f>
        <v>0</v>
      </c>
      <c r="K33" s="27">
        <f>SUM('Budget Details'!AK36,'Budget Details'!AK96)</f>
        <v>0</v>
      </c>
      <c r="L33" s="27">
        <f>SUM('Budget Details'!AL36,'Budget Details'!AL96)</f>
        <v>0</v>
      </c>
      <c r="M33" s="27">
        <f>SUM('Budget Details'!AM36,'Budget Details'!AM96)</f>
        <v>0</v>
      </c>
      <c r="N33" s="478">
        <f t="shared" si="4"/>
        <v>0</v>
      </c>
      <c r="P33" s="969" t="str">
        <f>'Budget Details'!BO36</f>
        <v xml:space="preserve">Undergrad - AY </v>
      </c>
      <c r="Q33" s="969"/>
      <c r="R33" s="451">
        <f>SUM('Budget Details'!AP36,'Budget Details'!AP96)</f>
        <v>0</v>
      </c>
      <c r="S33" s="451">
        <f>SUM('Budget Details'!AQ36,'Budget Details'!AQ96)</f>
        <v>0</v>
      </c>
      <c r="T33" s="451">
        <f>SUM('Budget Details'!AR36,'Budget Details'!AR96)</f>
        <v>0</v>
      </c>
      <c r="U33" s="451">
        <f>SUM('Budget Details'!AS36,'Budget Details'!AS96)</f>
        <v>0</v>
      </c>
      <c r="V33" s="451">
        <f>SUM('Budget Details'!AT36,'Budget Details'!AT96)</f>
        <v>0</v>
      </c>
      <c r="W33" s="451">
        <f>SUM('Budget Details'!AU36,'Budget Details'!AU96)</f>
        <v>0</v>
      </c>
      <c r="X33" s="451">
        <f>SUM('Budget Details'!AV36,'Budget Details'!AV96)</f>
        <v>0</v>
      </c>
      <c r="Y33" s="451">
        <f>SUM('Budget Details'!AW36,'Budget Details'!AW96)</f>
        <v>0</v>
      </c>
      <c r="Z33" s="451">
        <f>SUM('Budget Details'!AX36,'Budget Details'!AX96)</f>
        <v>0</v>
      </c>
      <c r="AA33" s="451">
        <f>SUM('Budget Details'!AY36,'Budget Details'!AY96)</f>
        <v>0</v>
      </c>
      <c r="AB33" s="485">
        <f t="shared" si="5"/>
        <v>0</v>
      </c>
    </row>
    <row r="34" spans="1:28" ht="19.5" customHeight="1" x14ac:dyDescent="0.25">
      <c r="A34" s="434"/>
      <c r="B34" s="969" t="str">
        <f>'Budget Details'!C37</f>
        <v>Undergrad - SM</v>
      </c>
      <c r="C34" s="969"/>
      <c r="D34" s="27">
        <f>SUM('Budget Details'!AD37,'Budget Details'!AD97)</f>
        <v>0</v>
      </c>
      <c r="E34" s="27">
        <f>SUM('Budget Details'!AE37,'Budget Details'!AE97)</f>
        <v>0</v>
      </c>
      <c r="F34" s="27">
        <f>SUM('Budget Details'!AF37,'Budget Details'!AF97)</f>
        <v>0</v>
      </c>
      <c r="G34" s="27">
        <f>SUM('Budget Details'!AG37,'Budget Details'!AG97)</f>
        <v>0</v>
      </c>
      <c r="H34" s="27">
        <f>SUM('Budget Details'!AH37,'Budget Details'!AH97)</f>
        <v>0</v>
      </c>
      <c r="I34" s="27">
        <f>SUM('Budget Details'!AI37,'Budget Details'!AI97)</f>
        <v>0</v>
      </c>
      <c r="J34" s="27">
        <f>SUM('Budget Details'!AJ37,'Budget Details'!AJ97)</f>
        <v>0</v>
      </c>
      <c r="K34" s="27">
        <f>SUM('Budget Details'!AK37,'Budget Details'!AK97)</f>
        <v>0</v>
      </c>
      <c r="L34" s="27">
        <f>SUM('Budget Details'!AL37,'Budget Details'!AL97)</f>
        <v>0</v>
      </c>
      <c r="M34" s="27">
        <f>SUM('Budget Details'!AM37,'Budget Details'!AM97)</f>
        <v>0</v>
      </c>
      <c r="N34" s="478">
        <f t="shared" si="4"/>
        <v>0</v>
      </c>
      <c r="P34" s="969" t="str">
        <f>'Budget Details'!BO37</f>
        <v>Undergrad - SM</v>
      </c>
      <c r="Q34" s="969"/>
      <c r="R34" s="451">
        <f>SUM('Budget Details'!AP37,'Budget Details'!AP97)</f>
        <v>0</v>
      </c>
      <c r="S34" s="451">
        <f>SUM('Budget Details'!AQ37,'Budget Details'!AQ97)</f>
        <v>0</v>
      </c>
      <c r="T34" s="451">
        <f>SUM('Budget Details'!AR37,'Budget Details'!AR97)</f>
        <v>0</v>
      </c>
      <c r="U34" s="451">
        <f>SUM('Budget Details'!AS37,'Budget Details'!AS97)</f>
        <v>0</v>
      </c>
      <c r="V34" s="451">
        <f>SUM('Budget Details'!AT37,'Budget Details'!AT97)</f>
        <v>0</v>
      </c>
      <c r="W34" s="451">
        <f>SUM('Budget Details'!AU37,'Budget Details'!AU97)</f>
        <v>0</v>
      </c>
      <c r="X34" s="451">
        <f>SUM('Budget Details'!AV37,'Budget Details'!AV97)</f>
        <v>0</v>
      </c>
      <c r="Y34" s="451">
        <f>SUM('Budget Details'!AW37,'Budget Details'!AW97)</f>
        <v>0</v>
      </c>
      <c r="Z34" s="451">
        <f>SUM('Budget Details'!AX37,'Budget Details'!AX97)</f>
        <v>0</v>
      </c>
      <c r="AA34" s="451">
        <f>SUM('Budget Details'!AY37,'Budget Details'!AY97)</f>
        <v>0</v>
      </c>
      <c r="AB34" s="485">
        <f t="shared" si="5"/>
        <v>0</v>
      </c>
    </row>
    <row r="35" spans="1:28" ht="19.5" customHeight="1" x14ac:dyDescent="0.25">
      <c r="A35" s="434"/>
      <c r="B35" s="969" t="str">
        <f>'Budget Details'!C38</f>
        <v>Temp Employee</v>
      </c>
      <c r="C35" s="969"/>
      <c r="D35" s="27">
        <f>SUM('Budget Details'!AD38,'Budget Details'!AD98)</f>
        <v>0</v>
      </c>
      <c r="E35" s="27">
        <f>SUM('Budget Details'!AE38,'Budget Details'!AE98)</f>
        <v>0</v>
      </c>
      <c r="F35" s="27">
        <f>SUM('Budget Details'!AF38,'Budget Details'!AF98)</f>
        <v>0</v>
      </c>
      <c r="G35" s="27">
        <f>SUM('Budget Details'!AG38,'Budget Details'!AG98)</f>
        <v>0</v>
      </c>
      <c r="H35" s="27">
        <f>SUM('Budget Details'!AH38,'Budget Details'!AH98)</f>
        <v>0</v>
      </c>
      <c r="I35" s="27">
        <f>SUM('Budget Details'!AI38,'Budget Details'!AI98)</f>
        <v>0</v>
      </c>
      <c r="J35" s="27">
        <f>SUM('Budget Details'!AJ38,'Budget Details'!AJ98)</f>
        <v>0</v>
      </c>
      <c r="K35" s="27">
        <f>SUM('Budget Details'!AK38,'Budget Details'!AK98)</f>
        <v>0</v>
      </c>
      <c r="L35" s="27">
        <f>SUM('Budget Details'!AL38,'Budget Details'!AL98)</f>
        <v>0</v>
      </c>
      <c r="M35" s="27">
        <f>SUM('Budget Details'!AM38,'Budget Details'!AM98)</f>
        <v>0</v>
      </c>
      <c r="N35" s="478">
        <f t="shared" si="4"/>
        <v>0</v>
      </c>
      <c r="P35" s="969" t="str">
        <f>'Budget Details'!BO38</f>
        <v>Temp Employee</v>
      </c>
      <c r="Q35" s="969"/>
      <c r="R35" s="451">
        <f>SUM('Budget Details'!AP38,'Budget Details'!AP98)</f>
        <v>0</v>
      </c>
      <c r="S35" s="451">
        <f>SUM('Budget Details'!AQ38,'Budget Details'!AQ98)</f>
        <v>0</v>
      </c>
      <c r="T35" s="451">
        <f>SUM('Budget Details'!AR38,'Budget Details'!AR98)</f>
        <v>0</v>
      </c>
      <c r="U35" s="451">
        <f>SUM('Budget Details'!AS38,'Budget Details'!AS98)</f>
        <v>0</v>
      </c>
      <c r="V35" s="451">
        <f>SUM('Budget Details'!AT38,'Budget Details'!AT98)</f>
        <v>0</v>
      </c>
      <c r="W35" s="451">
        <f>SUM('Budget Details'!AU38,'Budget Details'!AU98)</f>
        <v>0</v>
      </c>
      <c r="X35" s="451">
        <f>SUM('Budget Details'!AV38,'Budget Details'!AV98)</f>
        <v>0</v>
      </c>
      <c r="Y35" s="451">
        <f>SUM('Budget Details'!AW38,'Budget Details'!AW98)</f>
        <v>0</v>
      </c>
      <c r="Z35" s="451">
        <f>SUM('Budget Details'!AX38,'Budget Details'!AX98)</f>
        <v>0</v>
      </c>
      <c r="AA35" s="451">
        <f>SUM('Budget Details'!AY38,'Budget Details'!AY98)</f>
        <v>0</v>
      </c>
      <c r="AB35" s="485">
        <f t="shared" si="5"/>
        <v>0</v>
      </c>
    </row>
    <row r="36" spans="1:28" ht="19.5" customHeight="1" x14ac:dyDescent="0.25">
      <c r="A36" s="434"/>
      <c r="B36" s="969" t="str">
        <f>'Budget Details'!C39</f>
        <v>Student Worker</v>
      </c>
      <c r="C36" s="969"/>
      <c r="D36" s="27">
        <f>SUM('Budget Details'!AD39,'Budget Details'!AD99)</f>
        <v>0</v>
      </c>
      <c r="E36" s="27">
        <f>SUM('Budget Details'!AE39,'Budget Details'!AE99)</f>
        <v>0</v>
      </c>
      <c r="F36" s="27">
        <f>SUM('Budget Details'!AF39,'Budget Details'!AF99)</f>
        <v>0</v>
      </c>
      <c r="G36" s="27">
        <f>SUM('Budget Details'!AG39,'Budget Details'!AG99)</f>
        <v>0</v>
      </c>
      <c r="H36" s="27">
        <f>SUM('Budget Details'!AH39,'Budget Details'!AH99)</f>
        <v>0</v>
      </c>
      <c r="I36" s="27">
        <f>SUM('Budget Details'!AI39,'Budget Details'!AI99)</f>
        <v>0</v>
      </c>
      <c r="J36" s="27">
        <f>SUM('Budget Details'!AJ39,'Budget Details'!AJ99)</f>
        <v>0</v>
      </c>
      <c r="K36" s="27">
        <f>SUM('Budget Details'!AK39,'Budget Details'!AK99)</f>
        <v>0</v>
      </c>
      <c r="L36" s="27">
        <f>SUM('Budget Details'!AL39,'Budget Details'!AL99)</f>
        <v>0</v>
      </c>
      <c r="M36" s="27">
        <f>SUM('Budget Details'!AM39,'Budget Details'!AM99)</f>
        <v>0</v>
      </c>
      <c r="N36" s="478">
        <f t="shared" si="4"/>
        <v>0</v>
      </c>
      <c r="P36" s="969" t="str">
        <f>'Budget Details'!BO39</f>
        <v>Student Worker</v>
      </c>
      <c r="Q36" s="969"/>
      <c r="R36" s="451">
        <f>SUM('Budget Details'!AP39,'Budget Details'!AP99)</f>
        <v>0</v>
      </c>
      <c r="S36" s="451">
        <f>SUM('Budget Details'!AQ39,'Budget Details'!AQ99)</f>
        <v>0</v>
      </c>
      <c r="T36" s="451">
        <f>SUM('Budget Details'!AR39,'Budget Details'!AR99)</f>
        <v>0</v>
      </c>
      <c r="U36" s="451">
        <f>SUM('Budget Details'!AS39,'Budget Details'!AS99)</f>
        <v>0</v>
      </c>
      <c r="V36" s="451">
        <f>SUM('Budget Details'!AT39,'Budget Details'!AT99)</f>
        <v>0</v>
      </c>
      <c r="W36" s="451">
        <f>SUM('Budget Details'!AU39,'Budget Details'!AU99)</f>
        <v>0</v>
      </c>
      <c r="X36" s="451">
        <f>SUM('Budget Details'!AV39,'Budget Details'!AV99)</f>
        <v>0</v>
      </c>
      <c r="Y36" s="451">
        <f>SUM('Budget Details'!AW39,'Budget Details'!AW99)</f>
        <v>0</v>
      </c>
      <c r="Z36" s="451">
        <f>SUM('Budget Details'!AX39,'Budget Details'!AX99)</f>
        <v>0</v>
      </c>
      <c r="AA36" s="451">
        <f>SUM('Budget Details'!AY39,'Budget Details'!AY99)</f>
        <v>0</v>
      </c>
      <c r="AB36" s="485">
        <f t="shared" si="5"/>
        <v>0</v>
      </c>
    </row>
    <row r="37" spans="1:28" ht="19.5" customHeight="1" x14ac:dyDescent="0.25">
      <c r="A37" s="434"/>
      <c r="B37" s="969">
        <f>'Budget Details'!C40</f>
        <v>0</v>
      </c>
      <c r="C37" s="969"/>
      <c r="D37" s="27">
        <f>SUM('Budget Details'!AD40,'Budget Details'!AD100)</f>
        <v>0</v>
      </c>
      <c r="E37" s="27">
        <f>SUM('Budget Details'!AE40,'Budget Details'!AE100)</f>
        <v>0</v>
      </c>
      <c r="F37" s="27">
        <f>SUM('Budget Details'!AF40,'Budget Details'!AF100)</f>
        <v>0</v>
      </c>
      <c r="G37" s="27">
        <f>SUM('Budget Details'!AG40,'Budget Details'!AG100)</f>
        <v>0</v>
      </c>
      <c r="H37" s="27">
        <f>SUM('Budget Details'!AH40,'Budget Details'!AH100)</f>
        <v>0</v>
      </c>
      <c r="I37" s="27">
        <f>SUM('Budget Details'!AI40,'Budget Details'!AI100)</f>
        <v>0</v>
      </c>
      <c r="J37" s="27">
        <f>SUM('Budget Details'!AJ40,'Budget Details'!AJ100)</f>
        <v>0</v>
      </c>
      <c r="K37" s="27">
        <f>SUM('Budget Details'!AK40,'Budget Details'!AK100)</f>
        <v>0</v>
      </c>
      <c r="L37" s="27">
        <f>SUM('Budget Details'!AL40,'Budget Details'!AL100)</f>
        <v>0</v>
      </c>
      <c r="M37" s="27">
        <f>SUM('Budget Details'!AM40,'Budget Details'!AM100)</f>
        <v>0</v>
      </c>
      <c r="N37" s="478">
        <f t="shared" si="4"/>
        <v>0</v>
      </c>
      <c r="P37" s="969">
        <f>'Budget Details'!BO40</f>
        <v>0</v>
      </c>
      <c r="Q37" s="969"/>
      <c r="R37" s="451">
        <f>SUM('Budget Details'!AP40,'Budget Details'!AP100)</f>
        <v>0</v>
      </c>
      <c r="S37" s="451">
        <f>SUM('Budget Details'!AQ40,'Budget Details'!AQ100)</f>
        <v>0</v>
      </c>
      <c r="T37" s="451">
        <f>SUM('Budget Details'!AR40,'Budget Details'!AR100)</f>
        <v>0</v>
      </c>
      <c r="U37" s="451">
        <f>SUM('Budget Details'!AS40,'Budget Details'!AS100)</f>
        <v>0</v>
      </c>
      <c r="V37" s="451">
        <f>SUM('Budget Details'!AT40,'Budget Details'!AT100)</f>
        <v>0</v>
      </c>
      <c r="W37" s="451">
        <f>SUM('Budget Details'!AU40,'Budget Details'!AU100)</f>
        <v>0</v>
      </c>
      <c r="X37" s="451">
        <f>SUM('Budget Details'!AV40,'Budget Details'!AV100)</f>
        <v>0</v>
      </c>
      <c r="Y37" s="451">
        <f>SUM('Budget Details'!AW40,'Budget Details'!AW100)</f>
        <v>0</v>
      </c>
      <c r="Z37" s="451">
        <f>SUM('Budget Details'!AX40,'Budget Details'!AX100)</f>
        <v>0</v>
      </c>
      <c r="AA37" s="451">
        <f>SUM('Budget Details'!AY40,'Budget Details'!AY100)</f>
        <v>0</v>
      </c>
      <c r="AB37" s="485">
        <f t="shared" si="5"/>
        <v>0</v>
      </c>
    </row>
    <row r="38" spans="1:28" ht="19.5" customHeight="1" x14ac:dyDescent="0.25">
      <c r="A38" s="434"/>
      <c r="B38" s="969">
        <f>'Budget Details'!C41</f>
        <v>0</v>
      </c>
      <c r="C38" s="969"/>
      <c r="D38" s="27">
        <f>SUM('Budget Details'!AD41,'Budget Details'!AD101)</f>
        <v>0</v>
      </c>
      <c r="E38" s="27">
        <f>SUM('Budget Details'!AE41,'Budget Details'!AE101)</f>
        <v>0</v>
      </c>
      <c r="F38" s="27">
        <f>SUM('Budget Details'!AF41,'Budget Details'!AF101)</f>
        <v>0</v>
      </c>
      <c r="G38" s="27">
        <f>SUM('Budget Details'!AG41,'Budget Details'!AG101)</f>
        <v>0</v>
      </c>
      <c r="H38" s="27">
        <f>SUM('Budget Details'!AH41,'Budget Details'!AH101)</f>
        <v>0</v>
      </c>
      <c r="I38" s="27">
        <f>SUM('Budget Details'!AI41,'Budget Details'!AI101)</f>
        <v>0</v>
      </c>
      <c r="J38" s="27">
        <f>SUM('Budget Details'!AJ41,'Budget Details'!AJ101)</f>
        <v>0</v>
      </c>
      <c r="K38" s="27">
        <f>SUM('Budget Details'!AK41,'Budget Details'!AK101)</f>
        <v>0</v>
      </c>
      <c r="L38" s="27">
        <f>SUM('Budget Details'!AL41,'Budget Details'!AL101)</f>
        <v>0</v>
      </c>
      <c r="M38" s="27">
        <f>SUM('Budget Details'!AM41,'Budget Details'!AM101)</f>
        <v>0</v>
      </c>
      <c r="N38" s="478">
        <f t="shared" si="4"/>
        <v>0</v>
      </c>
      <c r="P38" s="969">
        <f>'Budget Details'!BO41</f>
        <v>0</v>
      </c>
      <c r="Q38" s="969"/>
      <c r="R38" s="451">
        <f>SUM('Budget Details'!AP41,'Budget Details'!AP101)</f>
        <v>0</v>
      </c>
      <c r="S38" s="451">
        <f>SUM('Budget Details'!AQ41,'Budget Details'!AQ101)</f>
        <v>0</v>
      </c>
      <c r="T38" s="451">
        <f>SUM('Budget Details'!AR41,'Budget Details'!AR101)</f>
        <v>0</v>
      </c>
      <c r="U38" s="451">
        <f>SUM('Budget Details'!AS41,'Budget Details'!AS101)</f>
        <v>0</v>
      </c>
      <c r="V38" s="451">
        <f>SUM('Budget Details'!AT41,'Budget Details'!AT101)</f>
        <v>0</v>
      </c>
      <c r="W38" s="451">
        <f>SUM('Budget Details'!AU41,'Budget Details'!AU101)</f>
        <v>0</v>
      </c>
      <c r="X38" s="451">
        <f>SUM('Budget Details'!AV41,'Budget Details'!AV101)</f>
        <v>0</v>
      </c>
      <c r="Y38" s="451">
        <f>SUM('Budget Details'!AW41,'Budget Details'!AW101)</f>
        <v>0</v>
      </c>
      <c r="Z38" s="451">
        <f>SUM('Budget Details'!AX41,'Budget Details'!AX101)</f>
        <v>0</v>
      </c>
      <c r="AA38" s="451">
        <f>SUM('Budget Details'!AY41,'Budget Details'!AY101)</f>
        <v>0</v>
      </c>
      <c r="AB38" s="485">
        <f t="shared" si="5"/>
        <v>0</v>
      </c>
    </row>
    <row r="39" spans="1:28" ht="19.5" customHeight="1" x14ac:dyDescent="0.25">
      <c r="A39" s="434"/>
      <c r="B39" s="969">
        <f>'Budget Details'!C42</f>
        <v>0</v>
      </c>
      <c r="C39" s="969"/>
      <c r="D39" s="27">
        <f>SUM('Budget Details'!AD42,'Budget Details'!AD102)</f>
        <v>0</v>
      </c>
      <c r="E39" s="27">
        <f>SUM('Budget Details'!AE42,'Budget Details'!AE102)</f>
        <v>0</v>
      </c>
      <c r="F39" s="27">
        <f>SUM('Budget Details'!AF42,'Budget Details'!AF102)</f>
        <v>0</v>
      </c>
      <c r="G39" s="27">
        <f>SUM('Budget Details'!AG42,'Budget Details'!AG102)</f>
        <v>0</v>
      </c>
      <c r="H39" s="27">
        <f>SUM('Budget Details'!AH42,'Budget Details'!AH102)</f>
        <v>0</v>
      </c>
      <c r="I39" s="27">
        <f>SUM('Budget Details'!AI42,'Budget Details'!AI102)</f>
        <v>0</v>
      </c>
      <c r="J39" s="27">
        <f>SUM('Budget Details'!AJ42,'Budget Details'!AJ102)</f>
        <v>0</v>
      </c>
      <c r="K39" s="27">
        <f>SUM('Budget Details'!AK42,'Budget Details'!AK102)</f>
        <v>0</v>
      </c>
      <c r="L39" s="27">
        <f>SUM('Budget Details'!AL42,'Budget Details'!AL102)</f>
        <v>0</v>
      </c>
      <c r="M39" s="27">
        <f>SUM('Budget Details'!AM42,'Budget Details'!AM102)</f>
        <v>0</v>
      </c>
      <c r="N39" s="478">
        <f t="shared" si="4"/>
        <v>0</v>
      </c>
      <c r="P39" s="969">
        <f>'Budget Details'!BO42</f>
        <v>0</v>
      </c>
      <c r="Q39" s="969"/>
      <c r="R39" s="451">
        <f>SUM('Budget Details'!AP42,'Budget Details'!AP102)</f>
        <v>0</v>
      </c>
      <c r="S39" s="451">
        <f>SUM('Budget Details'!AQ42,'Budget Details'!AQ102)</f>
        <v>0</v>
      </c>
      <c r="T39" s="451">
        <f>SUM('Budget Details'!AR42,'Budget Details'!AR102)</f>
        <v>0</v>
      </c>
      <c r="U39" s="451">
        <f>SUM('Budget Details'!AS42,'Budget Details'!AS102)</f>
        <v>0</v>
      </c>
      <c r="V39" s="451">
        <f>SUM('Budget Details'!AT42,'Budget Details'!AT102)</f>
        <v>0</v>
      </c>
      <c r="W39" s="451">
        <f>SUM('Budget Details'!AU42,'Budget Details'!AU102)</f>
        <v>0</v>
      </c>
      <c r="X39" s="451">
        <f>SUM('Budget Details'!AV42,'Budget Details'!AV102)</f>
        <v>0</v>
      </c>
      <c r="Y39" s="451">
        <f>SUM('Budget Details'!AW42,'Budget Details'!AW102)</f>
        <v>0</v>
      </c>
      <c r="Z39" s="451">
        <f>SUM('Budget Details'!AX42,'Budget Details'!AX102)</f>
        <v>0</v>
      </c>
      <c r="AA39" s="451">
        <f>SUM('Budget Details'!AY42,'Budget Details'!AY102)</f>
        <v>0</v>
      </c>
      <c r="AB39" s="485">
        <f t="shared" si="5"/>
        <v>0</v>
      </c>
    </row>
    <row r="40" spans="1:28" ht="19.5" customHeight="1" x14ac:dyDescent="0.25">
      <c r="A40" s="434"/>
      <c r="B40" s="969">
        <f>'Budget Details'!C43</f>
        <v>0</v>
      </c>
      <c r="C40" s="969"/>
      <c r="D40" s="27">
        <f>SUM('Budget Details'!AD43,'Budget Details'!AD103)</f>
        <v>0</v>
      </c>
      <c r="E40" s="27">
        <f>SUM('Budget Details'!AE43,'Budget Details'!AE103)</f>
        <v>0</v>
      </c>
      <c r="F40" s="27">
        <f>SUM('Budget Details'!AF43,'Budget Details'!AF103)</f>
        <v>0</v>
      </c>
      <c r="G40" s="27">
        <f>SUM('Budget Details'!AG43,'Budget Details'!AG103)</f>
        <v>0</v>
      </c>
      <c r="H40" s="27">
        <f>SUM('Budget Details'!AH43,'Budget Details'!AH103)</f>
        <v>0</v>
      </c>
      <c r="I40" s="27">
        <f>SUM('Budget Details'!AI43,'Budget Details'!AI103)</f>
        <v>0</v>
      </c>
      <c r="J40" s="27">
        <f>SUM('Budget Details'!AJ43,'Budget Details'!AJ103)</f>
        <v>0</v>
      </c>
      <c r="K40" s="27">
        <f>SUM('Budget Details'!AK43,'Budget Details'!AK103)</f>
        <v>0</v>
      </c>
      <c r="L40" s="27">
        <f>SUM('Budget Details'!AL43,'Budget Details'!AL103)</f>
        <v>0</v>
      </c>
      <c r="M40" s="27">
        <f>SUM('Budget Details'!AM43,'Budget Details'!AM103)</f>
        <v>0</v>
      </c>
      <c r="N40" s="478">
        <f t="shared" si="4"/>
        <v>0</v>
      </c>
      <c r="P40" s="969">
        <f>'Budget Details'!BO43</f>
        <v>0</v>
      </c>
      <c r="Q40" s="969"/>
      <c r="R40" s="451">
        <f>SUM('Budget Details'!AP43,'Budget Details'!AP103)</f>
        <v>0</v>
      </c>
      <c r="S40" s="451">
        <f>SUM('Budget Details'!AQ43,'Budget Details'!AQ103)</f>
        <v>0</v>
      </c>
      <c r="T40" s="451">
        <f>SUM('Budget Details'!AR43,'Budget Details'!AR103)</f>
        <v>0</v>
      </c>
      <c r="U40" s="451">
        <f>SUM('Budget Details'!AS43,'Budget Details'!AS103)</f>
        <v>0</v>
      </c>
      <c r="V40" s="451">
        <f>SUM('Budget Details'!AT43,'Budget Details'!AT103)</f>
        <v>0</v>
      </c>
      <c r="W40" s="451">
        <f>SUM('Budget Details'!AU43,'Budget Details'!AU103)</f>
        <v>0</v>
      </c>
      <c r="X40" s="451">
        <f>SUM('Budget Details'!AV43,'Budget Details'!AV103)</f>
        <v>0</v>
      </c>
      <c r="Y40" s="451">
        <f>SUM('Budget Details'!AW43,'Budget Details'!AW103)</f>
        <v>0</v>
      </c>
      <c r="Z40" s="451">
        <f>SUM('Budget Details'!AX43,'Budget Details'!AX103)</f>
        <v>0</v>
      </c>
      <c r="AA40" s="451">
        <f>SUM('Budget Details'!AY43,'Budget Details'!AY103)</f>
        <v>0</v>
      </c>
      <c r="AB40" s="485">
        <f t="shared" si="5"/>
        <v>0</v>
      </c>
    </row>
    <row r="41" spans="1:28" ht="19.5" customHeight="1" outlineLevel="1" x14ac:dyDescent="0.25">
      <c r="A41" s="434"/>
      <c r="B41" s="969">
        <f>'Budget Details'!C44</f>
        <v>0</v>
      </c>
      <c r="C41" s="969"/>
      <c r="D41" s="27">
        <f>SUM('Budget Details'!AD44,'Budget Details'!AD104)</f>
        <v>0</v>
      </c>
      <c r="E41" s="27">
        <f>SUM('Budget Details'!AE44,'Budget Details'!AE104)</f>
        <v>0</v>
      </c>
      <c r="F41" s="27">
        <f>SUM('Budget Details'!AF44,'Budget Details'!AF104)</f>
        <v>0</v>
      </c>
      <c r="G41" s="27">
        <f>SUM('Budget Details'!AG44,'Budget Details'!AG104)</f>
        <v>0</v>
      </c>
      <c r="H41" s="27">
        <f>SUM('Budget Details'!AH44,'Budget Details'!AH104)</f>
        <v>0</v>
      </c>
      <c r="I41" s="27">
        <f>SUM('Budget Details'!AI44,'Budget Details'!AI104)</f>
        <v>0</v>
      </c>
      <c r="J41" s="27">
        <f>SUM('Budget Details'!AJ44,'Budget Details'!AJ104)</f>
        <v>0</v>
      </c>
      <c r="K41" s="27">
        <f>SUM('Budget Details'!AK44,'Budget Details'!AK104)</f>
        <v>0</v>
      </c>
      <c r="L41" s="27">
        <f>SUM('Budget Details'!AL44,'Budget Details'!AL104)</f>
        <v>0</v>
      </c>
      <c r="M41" s="27">
        <f>SUM('Budget Details'!AM44,'Budget Details'!AM104)</f>
        <v>0</v>
      </c>
      <c r="N41" s="478">
        <f t="shared" si="4"/>
        <v>0</v>
      </c>
      <c r="P41" s="969">
        <f>'Budget Details'!BO44</f>
        <v>0</v>
      </c>
      <c r="Q41" s="969"/>
      <c r="R41" s="451">
        <f>SUM('Budget Details'!AP44,'Budget Details'!AP104)</f>
        <v>0</v>
      </c>
      <c r="S41" s="451">
        <f>SUM('Budget Details'!AQ44,'Budget Details'!AQ104)</f>
        <v>0</v>
      </c>
      <c r="T41" s="451">
        <f>SUM('Budget Details'!AR44,'Budget Details'!AR104)</f>
        <v>0</v>
      </c>
      <c r="U41" s="451">
        <f>SUM('Budget Details'!AS44,'Budget Details'!AS104)</f>
        <v>0</v>
      </c>
      <c r="V41" s="451">
        <f>SUM('Budget Details'!AT44,'Budget Details'!AT104)</f>
        <v>0</v>
      </c>
      <c r="W41" s="451">
        <f>SUM('Budget Details'!AU44,'Budget Details'!AU104)</f>
        <v>0</v>
      </c>
      <c r="X41" s="451">
        <f>SUM('Budget Details'!AV44,'Budget Details'!AV104)</f>
        <v>0</v>
      </c>
      <c r="Y41" s="451">
        <f>SUM('Budget Details'!AW44,'Budget Details'!AW104)</f>
        <v>0</v>
      </c>
      <c r="Z41" s="451">
        <f>SUM('Budget Details'!AX44,'Budget Details'!AX104)</f>
        <v>0</v>
      </c>
      <c r="AA41" s="451">
        <f>SUM('Budget Details'!AY44,'Budget Details'!AY104)</f>
        <v>0</v>
      </c>
      <c r="AB41" s="485">
        <f t="shared" si="5"/>
        <v>0</v>
      </c>
    </row>
    <row r="42" spans="1:28" ht="19.5" customHeight="1" outlineLevel="1" x14ac:dyDescent="0.25">
      <c r="A42" s="434"/>
      <c r="B42" s="969">
        <f>'Budget Details'!C45</f>
        <v>0</v>
      </c>
      <c r="C42" s="969"/>
      <c r="D42" s="27">
        <f>SUM('Budget Details'!AD45,'Budget Details'!AD105)</f>
        <v>0</v>
      </c>
      <c r="E42" s="27">
        <f>SUM('Budget Details'!AE45,'Budget Details'!AE105)</f>
        <v>0</v>
      </c>
      <c r="F42" s="27">
        <f>SUM('Budget Details'!AF45,'Budget Details'!AF105)</f>
        <v>0</v>
      </c>
      <c r="G42" s="27">
        <f>SUM('Budget Details'!AG45,'Budget Details'!AG105)</f>
        <v>0</v>
      </c>
      <c r="H42" s="27">
        <f>SUM('Budget Details'!AH45,'Budget Details'!AH105)</f>
        <v>0</v>
      </c>
      <c r="I42" s="27">
        <f>SUM('Budget Details'!AI45,'Budget Details'!AI105)</f>
        <v>0</v>
      </c>
      <c r="J42" s="27">
        <f>SUM('Budget Details'!AJ45,'Budget Details'!AJ105)</f>
        <v>0</v>
      </c>
      <c r="K42" s="27">
        <f>SUM('Budget Details'!AK45,'Budget Details'!AK105)</f>
        <v>0</v>
      </c>
      <c r="L42" s="27">
        <f>SUM('Budget Details'!AL45,'Budget Details'!AL105)</f>
        <v>0</v>
      </c>
      <c r="M42" s="27">
        <f>SUM('Budget Details'!AM45,'Budget Details'!AM105)</f>
        <v>0</v>
      </c>
      <c r="N42" s="478">
        <f t="shared" si="4"/>
        <v>0</v>
      </c>
      <c r="P42" s="969">
        <f>'Budget Details'!BO45</f>
        <v>0</v>
      </c>
      <c r="Q42" s="969"/>
      <c r="R42" s="451">
        <f>SUM('Budget Details'!AP45,'Budget Details'!AP105)</f>
        <v>0</v>
      </c>
      <c r="S42" s="451">
        <f>SUM('Budget Details'!AQ45,'Budget Details'!AQ105)</f>
        <v>0</v>
      </c>
      <c r="T42" s="451">
        <f>SUM('Budget Details'!AR45,'Budget Details'!AR105)</f>
        <v>0</v>
      </c>
      <c r="U42" s="451">
        <f>SUM('Budget Details'!AS45,'Budget Details'!AS105)</f>
        <v>0</v>
      </c>
      <c r="V42" s="451">
        <f>SUM('Budget Details'!AT45,'Budget Details'!AT105)</f>
        <v>0</v>
      </c>
      <c r="W42" s="451">
        <f>SUM('Budget Details'!AU45,'Budget Details'!AU105)</f>
        <v>0</v>
      </c>
      <c r="X42" s="451">
        <f>SUM('Budget Details'!AV45,'Budget Details'!AV105)</f>
        <v>0</v>
      </c>
      <c r="Y42" s="451">
        <f>SUM('Budget Details'!AW45,'Budget Details'!AW105)</f>
        <v>0</v>
      </c>
      <c r="Z42" s="451">
        <f>SUM('Budget Details'!AX45,'Budget Details'!AX105)</f>
        <v>0</v>
      </c>
      <c r="AA42" s="451">
        <f>SUM('Budget Details'!AY45,'Budget Details'!AY105)</f>
        <v>0</v>
      </c>
      <c r="AB42" s="485">
        <f t="shared" si="5"/>
        <v>0</v>
      </c>
    </row>
    <row r="43" spans="1:28" ht="19.5" customHeight="1" outlineLevel="1" x14ac:dyDescent="0.25">
      <c r="A43" s="434"/>
      <c r="B43" s="969">
        <f>'Budget Details'!C46</f>
        <v>0</v>
      </c>
      <c r="C43" s="969"/>
      <c r="D43" s="27">
        <f>SUM('Budget Details'!AD46,'Budget Details'!AD106)</f>
        <v>0</v>
      </c>
      <c r="E43" s="27">
        <f>SUM('Budget Details'!AE46,'Budget Details'!AE106)</f>
        <v>0</v>
      </c>
      <c r="F43" s="27">
        <f>SUM('Budget Details'!AF46,'Budget Details'!AF106)</f>
        <v>0</v>
      </c>
      <c r="G43" s="27">
        <f>SUM('Budget Details'!AG46,'Budget Details'!AG106)</f>
        <v>0</v>
      </c>
      <c r="H43" s="27">
        <f>SUM('Budget Details'!AH46,'Budget Details'!AH106)</f>
        <v>0</v>
      </c>
      <c r="I43" s="27">
        <f>SUM('Budget Details'!AI46,'Budget Details'!AI106)</f>
        <v>0</v>
      </c>
      <c r="J43" s="27">
        <f>SUM('Budget Details'!AJ46,'Budget Details'!AJ106)</f>
        <v>0</v>
      </c>
      <c r="K43" s="27">
        <f>SUM('Budget Details'!AK46,'Budget Details'!AK106)</f>
        <v>0</v>
      </c>
      <c r="L43" s="27">
        <f>SUM('Budget Details'!AL46,'Budget Details'!AL106)</f>
        <v>0</v>
      </c>
      <c r="M43" s="27">
        <f>SUM('Budget Details'!AM46,'Budget Details'!AM106)</f>
        <v>0</v>
      </c>
      <c r="N43" s="478">
        <f t="shared" si="4"/>
        <v>0</v>
      </c>
      <c r="P43" s="969">
        <f>'Budget Details'!BO46</f>
        <v>0</v>
      </c>
      <c r="Q43" s="969"/>
      <c r="R43" s="451">
        <f>SUM('Budget Details'!AP46,'Budget Details'!AP106)</f>
        <v>0</v>
      </c>
      <c r="S43" s="451">
        <f>SUM('Budget Details'!AQ46,'Budget Details'!AQ106)</f>
        <v>0</v>
      </c>
      <c r="T43" s="451">
        <f>SUM('Budget Details'!AR46,'Budget Details'!AR106)</f>
        <v>0</v>
      </c>
      <c r="U43" s="451">
        <f>SUM('Budget Details'!AS46,'Budget Details'!AS106)</f>
        <v>0</v>
      </c>
      <c r="V43" s="451">
        <f>SUM('Budget Details'!AT46,'Budget Details'!AT106)</f>
        <v>0</v>
      </c>
      <c r="W43" s="451">
        <f>SUM('Budget Details'!AU46,'Budget Details'!AU106)</f>
        <v>0</v>
      </c>
      <c r="X43" s="451">
        <f>SUM('Budget Details'!AV46,'Budget Details'!AV106)</f>
        <v>0</v>
      </c>
      <c r="Y43" s="451">
        <f>SUM('Budget Details'!AW46,'Budget Details'!AW106)</f>
        <v>0</v>
      </c>
      <c r="Z43" s="451">
        <f>SUM('Budget Details'!AX46,'Budget Details'!AX106)</f>
        <v>0</v>
      </c>
      <c r="AA43" s="451">
        <f>SUM('Budget Details'!AY46,'Budget Details'!AY106)</f>
        <v>0</v>
      </c>
      <c r="AB43" s="485">
        <f t="shared" si="5"/>
        <v>0</v>
      </c>
    </row>
    <row r="44" spans="1:28" ht="19.5" customHeight="1" outlineLevel="1" x14ac:dyDescent="0.25">
      <c r="A44" s="434"/>
      <c r="B44" s="969">
        <f>'Budget Details'!C47</f>
        <v>0</v>
      </c>
      <c r="C44" s="969"/>
      <c r="D44" s="27">
        <f>SUM('Budget Details'!AD47,'Budget Details'!AD107)</f>
        <v>0</v>
      </c>
      <c r="E44" s="27">
        <f>SUM('Budget Details'!AE47,'Budget Details'!AE107)</f>
        <v>0</v>
      </c>
      <c r="F44" s="27">
        <f>SUM('Budget Details'!AF47,'Budget Details'!AF107)</f>
        <v>0</v>
      </c>
      <c r="G44" s="27">
        <f>SUM('Budget Details'!AG47,'Budget Details'!AG107)</f>
        <v>0</v>
      </c>
      <c r="H44" s="27">
        <f>SUM('Budget Details'!AH47,'Budget Details'!AH107)</f>
        <v>0</v>
      </c>
      <c r="I44" s="27">
        <f>SUM('Budget Details'!AI47,'Budget Details'!AI107)</f>
        <v>0</v>
      </c>
      <c r="J44" s="27">
        <f>SUM('Budget Details'!AJ47,'Budget Details'!AJ107)</f>
        <v>0</v>
      </c>
      <c r="K44" s="27">
        <f>SUM('Budget Details'!AK47,'Budget Details'!AK107)</f>
        <v>0</v>
      </c>
      <c r="L44" s="27">
        <f>SUM('Budget Details'!AL47,'Budget Details'!AL107)</f>
        <v>0</v>
      </c>
      <c r="M44" s="27">
        <f>SUM('Budget Details'!AM47,'Budget Details'!AM107)</f>
        <v>0</v>
      </c>
      <c r="N44" s="478">
        <f t="shared" si="4"/>
        <v>0</v>
      </c>
      <c r="P44" s="969">
        <f>'Budget Details'!BO47</f>
        <v>0</v>
      </c>
      <c r="Q44" s="969"/>
      <c r="R44" s="451">
        <f>SUM('Budget Details'!AP47,'Budget Details'!AP107)</f>
        <v>0</v>
      </c>
      <c r="S44" s="451">
        <f>SUM('Budget Details'!AQ47,'Budget Details'!AQ107)</f>
        <v>0</v>
      </c>
      <c r="T44" s="451">
        <f>SUM('Budget Details'!AR47,'Budget Details'!AR107)</f>
        <v>0</v>
      </c>
      <c r="U44" s="451">
        <f>SUM('Budget Details'!AS47,'Budget Details'!AS107)</f>
        <v>0</v>
      </c>
      <c r="V44" s="451">
        <f>SUM('Budget Details'!AT47,'Budget Details'!AT107)</f>
        <v>0</v>
      </c>
      <c r="W44" s="451">
        <f>SUM('Budget Details'!AU47,'Budget Details'!AU107)</f>
        <v>0</v>
      </c>
      <c r="X44" s="451">
        <f>SUM('Budget Details'!AV47,'Budget Details'!AV107)</f>
        <v>0</v>
      </c>
      <c r="Y44" s="451">
        <f>SUM('Budget Details'!AW47,'Budget Details'!AW107)</f>
        <v>0</v>
      </c>
      <c r="Z44" s="451">
        <f>SUM('Budget Details'!AX47,'Budget Details'!AX107)</f>
        <v>0</v>
      </c>
      <c r="AA44" s="451">
        <f>SUM('Budget Details'!AY47,'Budget Details'!AY107)</f>
        <v>0</v>
      </c>
      <c r="AB44" s="485">
        <f t="shared" si="5"/>
        <v>0</v>
      </c>
    </row>
    <row r="45" spans="1:28" ht="19.5" customHeight="1" outlineLevel="1" x14ac:dyDescent="0.25">
      <c r="A45" s="434"/>
      <c r="B45" s="969">
        <f>'Budget Details'!C48</f>
        <v>0</v>
      </c>
      <c r="C45" s="969"/>
      <c r="D45" s="27">
        <f>SUM('Budget Details'!AD48,'Budget Details'!AD108)</f>
        <v>0</v>
      </c>
      <c r="E45" s="27">
        <f>SUM('Budget Details'!AE48,'Budget Details'!AE108)</f>
        <v>0</v>
      </c>
      <c r="F45" s="27">
        <f>SUM('Budget Details'!AF48,'Budget Details'!AF108)</f>
        <v>0</v>
      </c>
      <c r="G45" s="27">
        <f>SUM('Budget Details'!AG48,'Budget Details'!AG108)</f>
        <v>0</v>
      </c>
      <c r="H45" s="27">
        <f>SUM('Budget Details'!AH48,'Budget Details'!AH108)</f>
        <v>0</v>
      </c>
      <c r="I45" s="27">
        <f>SUM('Budget Details'!AI48,'Budget Details'!AI108)</f>
        <v>0</v>
      </c>
      <c r="J45" s="27">
        <f>SUM('Budget Details'!AJ48,'Budget Details'!AJ108)</f>
        <v>0</v>
      </c>
      <c r="K45" s="27">
        <f>SUM('Budget Details'!AK48,'Budget Details'!AK108)</f>
        <v>0</v>
      </c>
      <c r="L45" s="27">
        <f>SUM('Budget Details'!AL48,'Budget Details'!AL108)</f>
        <v>0</v>
      </c>
      <c r="M45" s="27">
        <f>SUM('Budget Details'!AM48,'Budget Details'!AM108)</f>
        <v>0</v>
      </c>
      <c r="N45" s="478">
        <f t="shared" si="4"/>
        <v>0</v>
      </c>
      <c r="P45" s="969">
        <f>'Budget Details'!BO48</f>
        <v>0</v>
      </c>
      <c r="Q45" s="969"/>
      <c r="R45" s="451">
        <f>SUM('Budget Details'!AP48,'Budget Details'!AP108)</f>
        <v>0</v>
      </c>
      <c r="S45" s="451">
        <f>SUM('Budget Details'!AQ48,'Budget Details'!AQ108)</f>
        <v>0</v>
      </c>
      <c r="T45" s="451">
        <f>SUM('Budget Details'!AR48,'Budget Details'!AR108)</f>
        <v>0</v>
      </c>
      <c r="U45" s="451">
        <f>SUM('Budget Details'!AS48,'Budget Details'!AS108)</f>
        <v>0</v>
      </c>
      <c r="V45" s="451">
        <f>SUM('Budget Details'!AT48,'Budget Details'!AT108)</f>
        <v>0</v>
      </c>
      <c r="W45" s="451">
        <f>SUM('Budget Details'!AU48,'Budget Details'!AU108)</f>
        <v>0</v>
      </c>
      <c r="X45" s="451">
        <f>SUM('Budget Details'!AV48,'Budget Details'!AV108)</f>
        <v>0</v>
      </c>
      <c r="Y45" s="451">
        <f>SUM('Budget Details'!AW48,'Budget Details'!AW108)</f>
        <v>0</v>
      </c>
      <c r="Z45" s="451">
        <f>SUM('Budget Details'!AX48,'Budget Details'!AX108)</f>
        <v>0</v>
      </c>
      <c r="AA45" s="451">
        <f>SUM('Budget Details'!AY48,'Budget Details'!AY108)</f>
        <v>0</v>
      </c>
      <c r="AB45" s="485">
        <f t="shared" si="5"/>
        <v>0</v>
      </c>
    </row>
    <row r="46" spans="1:28" ht="19.5" customHeight="1" outlineLevel="1" x14ac:dyDescent="0.25">
      <c r="A46" s="434"/>
      <c r="B46" s="969">
        <f>'Budget Details'!C49</f>
        <v>0</v>
      </c>
      <c r="C46" s="969"/>
      <c r="D46" s="27">
        <f>SUM('Budget Details'!AD49,'Budget Details'!AD109)</f>
        <v>0</v>
      </c>
      <c r="E46" s="27">
        <f>SUM('Budget Details'!AE49,'Budget Details'!AE109)</f>
        <v>0</v>
      </c>
      <c r="F46" s="27">
        <f>SUM('Budget Details'!AF49,'Budget Details'!AF109)</f>
        <v>0</v>
      </c>
      <c r="G46" s="27">
        <f>SUM('Budget Details'!AG49,'Budget Details'!AG109)</f>
        <v>0</v>
      </c>
      <c r="H46" s="27">
        <f>SUM('Budget Details'!AH49,'Budget Details'!AH109)</f>
        <v>0</v>
      </c>
      <c r="I46" s="27">
        <f>SUM('Budget Details'!AI49,'Budget Details'!AI109)</f>
        <v>0</v>
      </c>
      <c r="J46" s="27">
        <f>SUM('Budget Details'!AJ49,'Budget Details'!AJ109)</f>
        <v>0</v>
      </c>
      <c r="K46" s="27">
        <f>SUM('Budget Details'!AK49,'Budget Details'!AK109)</f>
        <v>0</v>
      </c>
      <c r="L46" s="27">
        <f>SUM('Budget Details'!AL49,'Budget Details'!AL109)</f>
        <v>0</v>
      </c>
      <c r="M46" s="27">
        <f>SUM('Budget Details'!AM49,'Budget Details'!AM109)</f>
        <v>0</v>
      </c>
      <c r="N46" s="478">
        <f t="shared" si="4"/>
        <v>0</v>
      </c>
      <c r="P46" s="969">
        <f>'Budget Details'!BO49</f>
        <v>0</v>
      </c>
      <c r="Q46" s="969"/>
      <c r="R46" s="451">
        <f>SUM('Budget Details'!AP49,'Budget Details'!AP109)</f>
        <v>0</v>
      </c>
      <c r="S46" s="451">
        <f>SUM('Budget Details'!AQ49,'Budget Details'!AQ109)</f>
        <v>0</v>
      </c>
      <c r="T46" s="451">
        <f>SUM('Budget Details'!AR49,'Budget Details'!AR109)</f>
        <v>0</v>
      </c>
      <c r="U46" s="451">
        <f>SUM('Budget Details'!AS49,'Budget Details'!AS109)</f>
        <v>0</v>
      </c>
      <c r="V46" s="451">
        <f>SUM('Budget Details'!AT49,'Budget Details'!AT109)</f>
        <v>0</v>
      </c>
      <c r="W46" s="451">
        <f>SUM('Budget Details'!AU49,'Budget Details'!AU109)</f>
        <v>0</v>
      </c>
      <c r="X46" s="451">
        <f>SUM('Budget Details'!AV49,'Budget Details'!AV109)</f>
        <v>0</v>
      </c>
      <c r="Y46" s="451">
        <f>SUM('Budget Details'!AW49,'Budget Details'!AW109)</f>
        <v>0</v>
      </c>
      <c r="Z46" s="451">
        <f>SUM('Budget Details'!AX49,'Budget Details'!AX109)</f>
        <v>0</v>
      </c>
      <c r="AA46" s="451">
        <f>SUM('Budget Details'!AY49,'Budget Details'!AY109)</f>
        <v>0</v>
      </c>
      <c r="AB46" s="485">
        <f t="shared" si="5"/>
        <v>0</v>
      </c>
    </row>
    <row r="47" spans="1:28" ht="19.5" customHeight="1" outlineLevel="1" x14ac:dyDescent="0.25">
      <c r="A47" s="434"/>
      <c r="B47" s="969">
        <f>'Budget Details'!C50</f>
        <v>0</v>
      </c>
      <c r="C47" s="969"/>
      <c r="D47" s="27">
        <f>SUM('Budget Details'!AD50,'Budget Details'!AD110)</f>
        <v>0</v>
      </c>
      <c r="E47" s="27">
        <f>SUM('Budget Details'!AE50,'Budget Details'!AE110)</f>
        <v>0</v>
      </c>
      <c r="F47" s="27">
        <f>SUM('Budget Details'!AF50,'Budget Details'!AF110)</f>
        <v>0</v>
      </c>
      <c r="G47" s="27">
        <f>SUM('Budget Details'!AG50,'Budget Details'!AG110)</f>
        <v>0</v>
      </c>
      <c r="H47" s="27">
        <f>SUM('Budget Details'!AH50,'Budget Details'!AH110)</f>
        <v>0</v>
      </c>
      <c r="I47" s="27">
        <f>SUM('Budget Details'!AI50,'Budget Details'!AI110)</f>
        <v>0</v>
      </c>
      <c r="J47" s="27">
        <f>SUM('Budget Details'!AJ50,'Budget Details'!AJ110)</f>
        <v>0</v>
      </c>
      <c r="K47" s="27">
        <f>SUM('Budget Details'!AK50,'Budget Details'!AK110)</f>
        <v>0</v>
      </c>
      <c r="L47" s="27">
        <f>SUM('Budget Details'!AL50,'Budget Details'!AL110)</f>
        <v>0</v>
      </c>
      <c r="M47" s="27">
        <f>SUM('Budget Details'!AM50,'Budget Details'!AM110)</f>
        <v>0</v>
      </c>
      <c r="N47" s="478">
        <f t="shared" si="4"/>
        <v>0</v>
      </c>
      <c r="P47" s="969">
        <f>'Budget Details'!BO50</f>
        <v>0</v>
      </c>
      <c r="Q47" s="969"/>
      <c r="R47" s="451">
        <f>SUM('Budget Details'!AP50,'Budget Details'!AP110)</f>
        <v>0</v>
      </c>
      <c r="S47" s="451">
        <f>SUM('Budget Details'!AQ50,'Budget Details'!AQ110)</f>
        <v>0</v>
      </c>
      <c r="T47" s="451">
        <f>SUM('Budget Details'!AR50,'Budget Details'!AR110)</f>
        <v>0</v>
      </c>
      <c r="U47" s="451">
        <f>SUM('Budget Details'!AS50,'Budget Details'!AS110)</f>
        <v>0</v>
      </c>
      <c r="V47" s="451">
        <f>SUM('Budget Details'!AT50,'Budget Details'!AT110)</f>
        <v>0</v>
      </c>
      <c r="W47" s="451">
        <f>SUM('Budget Details'!AU50,'Budget Details'!AU110)</f>
        <v>0</v>
      </c>
      <c r="X47" s="451">
        <f>SUM('Budget Details'!AV50,'Budget Details'!AV110)</f>
        <v>0</v>
      </c>
      <c r="Y47" s="451">
        <f>SUM('Budget Details'!AW50,'Budget Details'!AW110)</f>
        <v>0</v>
      </c>
      <c r="Z47" s="451">
        <f>SUM('Budget Details'!AX50,'Budget Details'!AX110)</f>
        <v>0</v>
      </c>
      <c r="AA47" s="451">
        <f>SUM('Budget Details'!AY50,'Budget Details'!AY110)</f>
        <v>0</v>
      </c>
      <c r="AB47" s="485">
        <f t="shared" si="5"/>
        <v>0</v>
      </c>
    </row>
    <row r="48" spans="1:28" ht="19.5" customHeight="1" outlineLevel="1" x14ac:dyDescent="0.25">
      <c r="A48" s="434"/>
      <c r="B48" s="969">
        <f>'Budget Details'!C51</f>
        <v>0</v>
      </c>
      <c r="C48" s="969"/>
      <c r="D48" s="27">
        <f>SUM('Budget Details'!AD51,'Budget Details'!AD111)</f>
        <v>0</v>
      </c>
      <c r="E48" s="27">
        <f>SUM('Budget Details'!AE51,'Budget Details'!AE111)</f>
        <v>0</v>
      </c>
      <c r="F48" s="27">
        <f>SUM('Budget Details'!AF51,'Budget Details'!AF111)</f>
        <v>0</v>
      </c>
      <c r="G48" s="27">
        <f>SUM('Budget Details'!AG51,'Budget Details'!AG111)</f>
        <v>0</v>
      </c>
      <c r="H48" s="27">
        <f>SUM('Budget Details'!AH51,'Budget Details'!AH111)</f>
        <v>0</v>
      </c>
      <c r="I48" s="27">
        <f>SUM('Budget Details'!AI51,'Budget Details'!AI111)</f>
        <v>0</v>
      </c>
      <c r="J48" s="27">
        <f>SUM('Budget Details'!AJ51,'Budget Details'!AJ111)</f>
        <v>0</v>
      </c>
      <c r="K48" s="27">
        <f>SUM('Budget Details'!AK51,'Budget Details'!AK111)</f>
        <v>0</v>
      </c>
      <c r="L48" s="27">
        <f>SUM('Budget Details'!AL51,'Budget Details'!AL111)</f>
        <v>0</v>
      </c>
      <c r="M48" s="27">
        <f>SUM('Budget Details'!AM51,'Budget Details'!AM111)</f>
        <v>0</v>
      </c>
      <c r="N48" s="478">
        <f t="shared" si="4"/>
        <v>0</v>
      </c>
      <c r="P48" s="969">
        <f>'Budget Details'!BO51</f>
        <v>0</v>
      </c>
      <c r="Q48" s="969"/>
      <c r="R48" s="451">
        <f>SUM('Budget Details'!AP51,'Budget Details'!AP111)</f>
        <v>0</v>
      </c>
      <c r="S48" s="451">
        <f>SUM('Budget Details'!AQ51,'Budget Details'!AQ111)</f>
        <v>0</v>
      </c>
      <c r="T48" s="451">
        <f>SUM('Budget Details'!AR51,'Budget Details'!AR111)</f>
        <v>0</v>
      </c>
      <c r="U48" s="451">
        <f>SUM('Budget Details'!AS51,'Budget Details'!AS111)</f>
        <v>0</v>
      </c>
      <c r="V48" s="451">
        <f>SUM('Budget Details'!AT51,'Budget Details'!AT111)</f>
        <v>0</v>
      </c>
      <c r="W48" s="451">
        <f>SUM('Budget Details'!AU51,'Budget Details'!AU111)</f>
        <v>0</v>
      </c>
      <c r="X48" s="451">
        <f>SUM('Budget Details'!AV51,'Budget Details'!AV111)</f>
        <v>0</v>
      </c>
      <c r="Y48" s="451">
        <f>SUM('Budget Details'!AW51,'Budget Details'!AW111)</f>
        <v>0</v>
      </c>
      <c r="Z48" s="451">
        <f>SUM('Budget Details'!AX51,'Budget Details'!AX111)</f>
        <v>0</v>
      </c>
      <c r="AA48" s="451">
        <f>SUM('Budget Details'!AY51,'Budget Details'!AY111)</f>
        <v>0</v>
      </c>
      <c r="AB48" s="485">
        <f t="shared" si="5"/>
        <v>0</v>
      </c>
    </row>
    <row r="49" spans="1:28" ht="19.5" customHeight="1" outlineLevel="1" x14ac:dyDescent="0.25">
      <c r="A49" s="434"/>
      <c r="B49" s="969">
        <f>'Budget Details'!C52</f>
        <v>0</v>
      </c>
      <c r="C49" s="969"/>
      <c r="D49" s="27">
        <f>SUM('Budget Details'!AD52,'Budget Details'!AD112)</f>
        <v>0</v>
      </c>
      <c r="E49" s="27">
        <f>SUM('Budget Details'!AE52,'Budget Details'!AE112)</f>
        <v>0</v>
      </c>
      <c r="F49" s="27">
        <f>SUM('Budget Details'!AF52,'Budget Details'!AF112)</f>
        <v>0</v>
      </c>
      <c r="G49" s="27">
        <f>SUM('Budget Details'!AG52,'Budget Details'!AG112)</f>
        <v>0</v>
      </c>
      <c r="H49" s="27">
        <f>SUM('Budget Details'!AH52,'Budget Details'!AH112)</f>
        <v>0</v>
      </c>
      <c r="I49" s="27">
        <f>SUM('Budget Details'!AI52,'Budget Details'!AI112)</f>
        <v>0</v>
      </c>
      <c r="J49" s="27">
        <f>SUM('Budget Details'!AJ52,'Budget Details'!AJ112)</f>
        <v>0</v>
      </c>
      <c r="K49" s="27">
        <f>SUM('Budget Details'!AK52,'Budget Details'!AK112)</f>
        <v>0</v>
      </c>
      <c r="L49" s="27">
        <f>SUM('Budget Details'!AL52,'Budget Details'!AL112)</f>
        <v>0</v>
      </c>
      <c r="M49" s="27">
        <f>SUM('Budget Details'!AM52,'Budget Details'!AM112)</f>
        <v>0</v>
      </c>
      <c r="N49" s="478">
        <f t="shared" si="4"/>
        <v>0</v>
      </c>
      <c r="P49" s="969">
        <f>'Budget Details'!BO52</f>
        <v>0</v>
      </c>
      <c r="Q49" s="969"/>
      <c r="R49" s="451">
        <f>SUM('Budget Details'!AP52,'Budget Details'!AP112)</f>
        <v>0</v>
      </c>
      <c r="S49" s="451">
        <f>SUM('Budget Details'!AQ52,'Budget Details'!AQ112)</f>
        <v>0</v>
      </c>
      <c r="T49" s="451">
        <f>SUM('Budget Details'!AR52,'Budget Details'!AR112)</f>
        <v>0</v>
      </c>
      <c r="U49" s="451">
        <f>SUM('Budget Details'!AS52,'Budget Details'!AS112)</f>
        <v>0</v>
      </c>
      <c r="V49" s="451">
        <f>SUM('Budget Details'!AT52,'Budget Details'!AT112)</f>
        <v>0</v>
      </c>
      <c r="W49" s="451">
        <f>SUM('Budget Details'!AU52,'Budget Details'!AU112)</f>
        <v>0</v>
      </c>
      <c r="X49" s="451">
        <f>SUM('Budget Details'!AV52,'Budget Details'!AV112)</f>
        <v>0</v>
      </c>
      <c r="Y49" s="451">
        <f>SUM('Budget Details'!AW52,'Budget Details'!AW112)</f>
        <v>0</v>
      </c>
      <c r="Z49" s="451">
        <f>SUM('Budget Details'!AX52,'Budget Details'!AX112)</f>
        <v>0</v>
      </c>
      <c r="AA49" s="451">
        <f>SUM('Budget Details'!AY52,'Budget Details'!AY112)</f>
        <v>0</v>
      </c>
      <c r="AB49" s="485">
        <f t="shared" si="5"/>
        <v>0</v>
      </c>
    </row>
    <row r="50" spans="1:28" ht="19.5" customHeight="1" outlineLevel="1" x14ac:dyDescent="0.25">
      <c r="A50" s="434"/>
      <c r="B50" s="977">
        <f>'Budget Details'!C53</f>
        <v>0</v>
      </c>
      <c r="C50" s="977"/>
      <c r="D50" s="467">
        <f>SUM('Budget Details'!AD53,'Budget Details'!AD113)</f>
        <v>0</v>
      </c>
      <c r="E50" s="467">
        <f>SUM('Budget Details'!AE53,'Budget Details'!AE113)</f>
        <v>0</v>
      </c>
      <c r="F50" s="467">
        <f>SUM('Budget Details'!AF53,'Budget Details'!AF113)</f>
        <v>0</v>
      </c>
      <c r="G50" s="467">
        <f>SUM('Budget Details'!AG53,'Budget Details'!AG113)</f>
        <v>0</v>
      </c>
      <c r="H50" s="27">
        <f>SUM('Budget Details'!AH53,'Budget Details'!AH113)</f>
        <v>0</v>
      </c>
      <c r="I50" s="27">
        <f>SUM('Budget Details'!AI53,'Budget Details'!AI113)</f>
        <v>0</v>
      </c>
      <c r="J50" s="27">
        <f>SUM('Budget Details'!AJ53,'Budget Details'!AJ113)</f>
        <v>0</v>
      </c>
      <c r="K50" s="27">
        <f>SUM('Budget Details'!AK53,'Budget Details'!AK113)</f>
        <v>0</v>
      </c>
      <c r="L50" s="27">
        <f>SUM('Budget Details'!AL53,'Budget Details'!AL113)</f>
        <v>0</v>
      </c>
      <c r="M50" s="27">
        <f>SUM('Budget Details'!AM53,'Budget Details'!AM113)</f>
        <v>0</v>
      </c>
      <c r="N50" s="478">
        <f t="shared" si="4"/>
        <v>0</v>
      </c>
      <c r="P50" s="969">
        <f>'Budget Details'!BO53</f>
        <v>0</v>
      </c>
      <c r="Q50" s="969"/>
      <c r="R50" s="451">
        <f>SUM('Budget Details'!AP53,'Budget Details'!AP113)</f>
        <v>0</v>
      </c>
      <c r="S50" s="451">
        <f>SUM('Budget Details'!AQ53,'Budget Details'!AQ113)</f>
        <v>0</v>
      </c>
      <c r="T50" s="451">
        <f>SUM('Budget Details'!AR53,'Budget Details'!AR113)</f>
        <v>0</v>
      </c>
      <c r="U50" s="451">
        <f>SUM('Budget Details'!AS53,'Budget Details'!AS113)</f>
        <v>0</v>
      </c>
      <c r="V50" s="451">
        <f>SUM('Budget Details'!AT53,'Budget Details'!AT113)</f>
        <v>0</v>
      </c>
      <c r="W50" s="451">
        <f>SUM('Budget Details'!AU53,'Budget Details'!AU113)</f>
        <v>0</v>
      </c>
      <c r="X50" s="451">
        <f>SUM('Budget Details'!AV53,'Budget Details'!AV113)</f>
        <v>0</v>
      </c>
      <c r="Y50" s="451">
        <f>SUM('Budget Details'!AW53,'Budget Details'!AW113)</f>
        <v>0</v>
      </c>
      <c r="Z50" s="451">
        <f>SUM('Budget Details'!AX53,'Budget Details'!AX113)</f>
        <v>0</v>
      </c>
      <c r="AA50" s="451">
        <f>SUM('Budget Details'!AY53,'Budget Details'!AY113)</f>
        <v>0</v>
      </c>
      <c r="AB50" s="485">
        <f t="shared" si="5"/>
        <v>0</v>
      </c>
    </row>
    <row r="51" spans="1:28" ht="19.5" customHeight="1" x14ac:dyDescent="0.25">
      <c r="A51" s="434"/>
      <c r="B51" s="973" t="s">
        <v>403</v>
      </c>
      <c r="C51" s="973"/>
      <c r="D51" s="473">
        <f>SUM(D31:D50)</f>
        <v>0</v>
      </c>
      <c r="E51" s="473">
        <f t="shared" ref="E51:M51" si="6">SUM(E31:E50)</f>
        <v>0</v>
      </c>
      <c r="F51" s="473">
        <f t="shared" si="6"/>
        <v>0</v>
      </c>
      <c r="G51" s="473">
        <f t="shared" si="6"/>
        <v>0</v>
      </c>
      <c r="H51" s="473">
        <f t="shared" si="6"/>
        <v>0</v>
      </c>
      <c r="I51" s="473">
        <f t="shared" si="6"/>
        <v>0</v>
      </c>
      <c r="J51" s="473">
        <f t="shared" si="6"/>
        <v>0</v>
      </c>
      <c r="K51" s="473">
        <f t="shared" si="6"/>
        <v>0</v>
      </c>
      <c r="L51" s="473">
        <f t="shared" si="6"/>
        <v>0</v>
      </c>
      <c r="M51" s="473">
        <f t="shared" si="6"/>
        <v>0</v>
      </c>
      <c r="N51" s="478">
        <f>SUM(D51:M51)</f>
        <v>0</v>
      </c>
      <c r="P51" s="967" t="s">
        <v>403</v>
      </c>
      <c r="Q51" s="967"/>
      <c r="R51" s="470">
        <f>SUM(R31:R50)</f>
        <v>0</v>
      </c>
      <c r="S51" s="470">
        <f t="shared" ref="S51:AA51" si="7">SUM(S31:S50)</f>
        <v>0</v>
      </c>
      <c r="T51" s="470">
        <f t="shared" si="7"/>
        <v>0</v>
      </c>
      <c r="U51" s="470">
        <f t="shared" si="7"/>
        <v>0</v>
      </c>
      <c r="V51" s="470">
        <f t="shared" si="7"/>
        <v>0</v>
      </c>
      <c r="W51" s="470">
        <f t="shared" si="7"/>
        <v>0</v>
      </c>
      <c r="X51" s="470">
        <f t="shared" si="7"/>
        <v>0</v>
      </c>
      <c r="Y51" s="470">
        <f t="shared" si="7"/>
        <v>0</v>
      </c>
      <c r="Z51" s="470">
        <f t="shared" si="7"/>
        <v>0</v>
      </c>
      <c r="AA51" s="470">
        <f t="shared" si="7"/>
        <v>0</v>
      </c>
      <c r="AB51" s="485">
        <f>SUM(R51:AA51)</f>
        <v>0</v>
      </c>
    </row>
    <row r="52" spans="1:28" ht="19.5" customHeight="1" x14ac:dyDescent="0.25">
      <c r="A52" s="434"/>
      <c r="B52" s="466"/>
      <c r="C52" s="466"/>
      <c r="D52" s="435"/>
      <c r="E52" s="435"/>
      <c r="F52" s="435"/>
      <c r="G52" s="435"/>
      <c r="H52" s="435"/>
      <c r="I52" s="435"/>
      <c r="J52" s="435"/>
      <c r="K52" s="435"/>
      <c r="L52" s="435"/>
      <c r="M52" s="435"/>
      <c r="N52" s="435"/>
      <c r="P52" s="434"/>
      <c r="Q52" s="434"/>
      <c r="R52" s="434"/>
      <c r="S52" s="434"/>
      <c r="T52" s="434"/>
      <c r="U52" s="434"/>
      <c r="V52" s="434"/>
      <c r="W52" s="434"/>
      <c r="X52" s="434"/>
      <c r="Y52" s="434"/>
      <c r="Z52" s="434"/>
      <c r="AA52" s="434"/>
      <c r="AB52" s="434"/>
    </row>
    <row r="53" spans="1:28" ht="19.5" customHeight="1" thickBot="1" x14ac:dyDescent="0.35">
      <c r="A53" s="434"/>
      <c r="B53" s="971" t="s">
        <v>409</v>
      </c>
      <c r="C53" s="971"/>
      <c r="D53" s="971"/>
      <c r="E53" s="971"/>
      <c r="F53" s="971"/>
      <c r="G53" s="971"/>
      <c r="H53" s="971"/>
      <c r="I53" s="476"/>
      <c r="J53" s="476"/>
      <c r="K53" s="476"/>
      <c r="L53" s="476"/>
      <c r="M53" s="476"/>
      <c r="N53" s="476"/>
      <c r="P53" s="971" t="s">
        <v>409</v>
      </c>
      <c r="Q53" s="971"/>
      <c r="R53" s="971"/>
      <c r="S53" s="971"/>
      <c r="T53" s="971"/>
      <c r="U53" s="971"/>
      <c r="V53" s="971"/>
      <c r="W53" s="476"/>
      <c r="X53" s="476"/>
      <c r="Y53" s="476"/>
      <c r="Z53" s="476"/>
      <c r="AA53" s="476"/>
      <c r="AB53" s="476"/>
    </row>
    <row r="54" spans="1:28" ht="19.5" customHeight="1" thickTop="1" thickBot="1" x14ac:dyDescent="0.3">
      <c r="B54" s="436" t="s">
        <v>123</v>
      </c>
      <c r="C54" s="436" t="s">
        <v>410</v>
      </c>
      <c r="D54" s="970" t="s">
        <v>411</v>
      </c>
      <c r="E54" s="970"/>
      <c r="F54" s="970"/>
      <c r="G54" s="970"/>
      <c r="H54" s="970"/>
      <c r="I54" s="475"/>
      <c r="J54" s="475"/>
      <c r="K54" s="475"/>
      <c r="L54" s="475"/>
      <c r="M54" s="475"/>
      <c r="N54" s="475"/>
      <c r="P54" s="436" t="s">
        <v>123</v>
      </c>
      <c r="Q54" s="436" t="s">
        <v>410</v>
      </c>
      <c r="R54" s="970" t="s">
        <v>411</v>
      </c>
      <c r="S54" s="970"/>
      <c r="T54" s="970"/>
      <c r="U54" s="970"/>
      <c r="V54" s="970"/>
      <c r="W54" s="475"/>
      <c r="X54" s="475"/>
      <c r="Y54" s="475"/>
      <c r="Z54" s="475"/>
      <c r="AA54" s="475"/>
      <c r="AB54" s="475"/>
    </row>
    <row r="55" spans="1:28" ht="19.5" customHeight="1" thickBot="1" x14ac:dyDescent="0.3">
      <c r="B55" s="436"/>
      <c r="C55" s="436"/>
      <c r="D55" s="436" t="s">
        <v>393</v>
      </c>
      <c r="E55" s="436" t="s">
        <v>394</v>
      </c>
      <c r="F55" s="436" t="s">
        <v>395</v>
      </c>
      <c r="G55" s="436" t="s">
        <v>396</v>
      </c>
      <c r="H55" s="436" t="s">
        <v>397</v>
      </c>
      <c r="I55" s="436" t="s">
        <v>398</v>
      </c>
      <c r="J55" s="436" t="s">
        <v>399</v>
      </c>
      <c r="K55" s="436" t="s">
        <v>400</v>
      </c>
      <c r="L55" s="436" t="s">
        <v>401</v>
      </c>
      <c r="M55" s="436" t="s">
        <v>402</v>
      </c>
      <c r="N55" s="436" t="s">
        <v>403</v>
      </c>
      <c r="P55" s="436"/>
      <c r="Q55" s="436"/>
      <c r="R55" s="436" t="s">
        <v>393</v>
      </c>
      <c r="S55" s="436" t="s">
        <v>394</v>
      </c>
      <c r="T55" s="436" t="s">
        <v>395</v>
      </c>
      <c r="U55" s="436" t="s">
        <v>396</v>
      </c>
      <c r="V55" s="436" t="s">
        <v>397</v>
      </c>
      <c r="W55" s="436" t="s">
        <v>398</v>
      </c>
      <c r="X55" s="436" t="s">
        <v>399</v>
      </c>
      <c r="Y55" s="436" t="s">
        <v>400</v>
      </c>
      <c r="Z55" s="436" t="s">
        <v>401</v>
      </c>
      <c r="AA55" s="436" t="s">
        <v>402</v>
      </c>
      <c r="AB55" s="436" t="s">
        <v>403</v>
      </c>
    </row>
    <row r="56" spans="1:28" ht="19.5" customHeight="1" x14ac:dyDescent="0.25">
      <c r="B56" s="442" t="str">
        <f>'Budget Details'!C57</f>
        <v>GRA # 1</v>
      </c>
      <c r="C56" s="442" t="str">
        <f>'Budget Details'!D57</f>
        <v>Full year</v>
      </c>
      <c r="D56" s="446">
        <f>SUM('Budget Details'!AD57,'Budget Details'!AD117)</f>
        <v>0</v>
      </c>
      <c r="E56" s="446">
        <f>SUM('Budget Details'!AE57,'Budget Details'!AE117)</f>
        <v>0</v>
      </c>
      <c r="F56" s="446">
        <f>SUM('Budget Details'!AF57,'Budget Details'!AF117)</f>
        <v>0</v>
      </c>
      <c r="G56" s="446">
        <f>SUM('Budget Details'!AG57,'Budget Details'!AG117)</f>
        <v>0</v>
      </c>
      <c r="H56" s="446">
        <f>SUM('Budget Details'!AH57,'Budget Details'!AH117)</f>
        <v>0</v>
      </c>
      <c r="I56" s="446">
        <f>SUM('Budget Details'!AI57,'Budget Details'!AI117)</f>
        <v>0</v>
      </c>
      <c r="J56" s="446">
        <f>SUM('Budget Details'!AJ57,'Budget Details'!AJ117)</f>
        <v>0</v>
      </c>
      <c r="K56" s="446">
        <f>SUM('Budget Details'!AK57,'Budget Details'!AK117)</f>
        <v>0</v>
      </c>
      <c r="L56" s="446">
        <f>SUM('Budget Details'!AL57,'Budget Details'!AL117)</f>
        <v>0</v>
      </c>
      <c r="M56" s="446">
        <f>SUM('Budget Details'!AM57,'Budget Details'!AM117)</f>
        <v>0</v>
      </c>
      <c r="N56" s="479">
        <f>SUM(D56:M56)</f>
        <v>0</v>
      </c>
      <c r="P56" s="442" t="str">
        <f>'Budget Details'!BO57</f>
        <v>GRA # 0</v>
      </c>
      <c r="Q56" s="442" t="str">
        <f>'Budget Details'!BP57</f>
        <v>Full year</v>
      </c>
      <c r="R56" s="452">
        <f>SUM('Budget Details'!AP57,'Budget Details'!AP117)</f>
        <v>0</v>
      </c>
      <c r="S56" s="452">
        <f>SUM('Budget Details'!AQ57,'Budget Details'!AQ117)</f>
        <v>0</v>
      </c>
      <c r="T56" s="452">
        <f>SUM('Budget Details'!AR57,'Budget Details'!AR117)</f>
        <v>0</v>
      </c>
      <c r="U56" s="452">
        <f>SUM('Budget Details'!AS57,'Budget Details'!AS117)</f>
        <v>0</v>
      </c>
      <c r="V56" s="452">
        <f>SUM('Budget Details'!AT57,'Budget Details'!AT117)</f>
        <v>0</v>
      </c>
      <c r="W56" s="452">
        <f>SUM('Budget Details'!AU57,'Budget Details'!AU117)</f>
        <v>0</v>
      </c>
      <c r="X56" s="452">
        <f>SUM('Budget Details'!AV57,'Budget Details'!AV117)</f>
        <v>0</v>
      </c>
      <c r="Y56" s="452">
        <f>SUM('Budget Details'!AW57,'Budget Details'!AW117)</f>
        <v>0</v>
      </c>
      <c r="Z56" s="452">
        <f>SUM('Budget Details'!AX57,'Budget Details'!AX117)</f>
        <v>0</v>
      </c>
      <c r="AA56" s="452">
        <f>SUM('Budget Details'!AY57,'Budget Details'!AY117)</f>
        <v>0</v>
      </c>
      <c r="AB56" s="486">
        <f t="shared" ref="AB56:AB66" si="8">SUM(R56:AA56)</f>
        <v>0</v>
      </c>
    </row>
    <row r="57" spans="1:28" ht="19.5" customHeight="1" thickBot="1" x14ac:dyDescent="0.3">
      <c r="B57" s="443">
        <f>'Budget Details'!C58</f>
        <v>0</v>
      </c>
      <c r="C57" s="443" t="str">
        <f>'Budget Details'!D58</f>
        <v>Summer</v>
      </c>
      <c r="D57" s="447">
        <f>SUM('Budget Details'!AD58,'Budget Details'!AD118)</f>
        <v>0</v>
      </c>
      <c r="E57" s="447">
        <f>SUM('Budget Details'!AE58,'Budget Details'!AE118)</f>
        <v>0</v>
      </c>
      <c r="F57" s="447">
        <f>SUM('Budget Details'!AF58,'Budget Details'!AF118)</f>
        <v>0</v>
      </c>
      <c r="G57" s="447">
        <f>SUM('Budget Details'!AG58,'Budget Details'!AG118)</f>
        <v>0</v>
      </c>
      <c r="H57" s="447">
        <f>SUM('Budget Details'!AH58,'Budget Details'!AH118)</f>
        <v>0</v>
      </c>
      <c r="I57" s="447">
        <f>SUM('Budget Details'!AI58,'Budget Details'!AI118)</f>
        <v>0</v>
      </c>
      <c r="J57" s="447">
        <f>SUM('Budget Details'!AJ58,'Budget Details'!AJ118)</f>
        <v>0</v>
      </c>
      <c r="K57" s="447">
        <f>SUM('Budget Details'!AK58,'Budget Details'!AK118)</f>
        <v>0</v>
      </c>
      <c r="L57" s="447">
        <f>SUM('Budget Details'!AL58,'Budget Details'!AL118)</f>
        <v>0</v>
      </c>
      <c r="M57" s="447">
        <f>SUM('Budget Details'!AM58,'Budget Details'!AM118)</f>
        <v>0</v>
      </c>
      <c r="N57" s="482">
        <f t="shared" ref="N57:N65" si="9">SUM(D57:M57)</f>
        <v>0</v>
      </c>
      <c r="P57" s="443">
        <f>'Budget Details'!BO58</f>
        <v>0</v>
      </c>
      <c r="Q57" s="443" t="str">
        <f>'Budget Details'!BP58</f>
        <v>Summer</v>
      </c>
      <c r="R57" s="453">
        <f>SUM('Budget Details'!AP58,'Budget Details'!AP118)</f>
        <v>0</v>
      </c>
      <c r="S57" s="453">
        <f>SUM('Budget Details'!AQ58,'Budget Details'!AQ118)</f>
        <v>0</v>
      </c>
      <c r="T57" s="453">
        <f>SUM('Budget Details'!AR58,'Budget Details'!AR118)</f>
        <v>0</v>
      </c>
      <c r="U57" s="453">
        <f>SUM('Budget Details'!AS58,'Budget Details'!AS118)</f>
        <v>0</v>
      </c>
      <c r="V57" s="453">
        <f>SUM('Budget Details'!AT58,'Budget Details'!AT118)</f>
        <v>0</v>
      </c>
      <c r="W57" s="453">
        <f>SUM('Budget Details'!AU58,'Budget Details'!AU118)</f>
        <v>0</v>
      </c>
      <c r="X57" s="453">
        <f>SUM('Budget Details'!AV58,'Budget Details'!AV118)</f>
        <v>0</v>
      </c>
      <c r="Y57" s="453">
        <f>SUM('Budget Details'!AW58,'Budget Details'!AW118)</f>
        <v>0</v>
      </c>
      <c r="Z57" s="453">
        <f>SUM('Budget Details'!AX58,'Budget Details'!AX118)</f>
        <v>0</v>
      </c>
      <c r="AA57" s="453">
        <f>SUM('Budget Details'!AY58,'Budget Details'!AY118)</f>
        <v>0</v>
      </c>
      <c r="AB57" s="487">
        <f t="shared" si="8"/>
        <v>0</v>
      </c>
    </row>
    <row r="58" spans="1:28" ht="19.5" customHeight="1" x14ac:dyDescent="0.25">
      <c r="B58" s="444" t="str">
        <f>'Budget Details'!C59</f>
        <v>GRA #2</v>
      </c>
      <c r="C58" s="444" t="str">
        <f>'Budget Details'!D59</f>
        <v>Full year</v>
      </c>
      <c r="D58" s="448">
        <f>SUM('Budget Details'!AD59,'Budget Details'!AD121)</f>
        <v>0</v>
      </c>
      <c r="E58" s="448">
        <f>SUM('Budget Details'!AE59,'Budget Details'!AE121)</f>
        <v>0</v>
      </c>
      <c r="F58" s="448">
        <f>SUM('Budget Details'!AF59,'Budget Details'!AF121)</f>
        <v>0</v>
      </c>
      <c r="G58" s="448">
        <f>SUM('Budget Details'!AG59,'Budget Details'!AG121)</f>
        <v>0</v>
      </c>
      <c r="H58" s="448">
        <f>SUM('Budget Details'!AH59,'Budget Details'!AH121)</f>
        <v>0</v>
      </c>
      <c r="I58" s="448">
        <f>SUM('Budget Details'!AI59,'Budget Details'!AI121)</f>
        <v>0</v>
      </c>
      <c r="J58" s="448">
        <f>SUM('Budget Details'!AJ59,'Budget Details'!AJ121)</f>
        <v>0</v>
      </c>
      <c r="K58" s="448">
        <f>SUM('Budget Details'!AK59,'Budget Details'!AK121)</f>
        <v>0</v>
      </c>
      <c r="L58" s="448">
        <f>SUM('Budget Details'!AL59,'Budget Details'!AL121)</f>
        <v>0</v>
      </c>
      <c r="M58" s="448">
        <f>SUM('Budget Details'!AM59,'Budget Details'!AM121)</f>
        <v>0</v>
      </c>
      <c r="N58" s="483">
        <f t="shared" si="9"/>
        <v>0</v>
      </c>
      <c r="P58" s="444" t="str">
        <f>'Budget Details'!BO59</f>
        <v>GRA #1</v>
      </c>
      <c r="Q58" s="444" t="str">
        <f>'Budget Details'!BP59</f>
        <v>Full year</v>
      </c>
      <c r="R58" s="454">
        <f>SUM('Budget Details'!AP59,'Budget Details'!AP121)</f>
        <v>0</v>
      </c>
      <c r="S58" s="454">
        <f>SUM('Budget Details'!AQ59,'Budget Details'!AQ121)</f>
        <v>0</v>
      </c>
      <c r="T58" s="454">
        <f>SUM('Budget Details'!AR59,'Budget Details'!AR121)</f>
        <v>0</v>
      </c>
      <c r="U58" s="454">
        <f>SUM('Budget Details'!AS59,'Budget Details'!AS121)</f>
        <v>0</v>
      </c>
      <c r="V58" s="454">
        <f>SUM('Budget Details'!AT59,'Budget Details'!AT121)</f>
        <v>0</v>
      </c>
      <c r="W58" s="454">
        <f>SUM('Budget Details'!AU59,'Budget Details'!AU121)</f>
        <v>0</v>
      </c>
      <c r="X58" s="454">
        <f>SUM('Budget Details'!AV59,'Budget Details'!AV121)</f>
        <v>0</v>
      </c>
      <c r="Y58" s="454">
        <f>SUM('Budget Details'!AW59,'Budget Details'!AW121)</f>
        <v>0</v>
      </c>
      <c r="Z58" s="454">
        <f>SUM('Budget Details'!AX59,'Budget Details'!AX121)</f>
        <v>0</v>
      </c>
      <c r="AA58" s="454">
        <f>SUM('Budget Details'!AY59,'Budget Details'!AY121)</f>
        <v>0</v>
      </c>
      <c r="AB58" s="488">
        <f t="shared" si="8"/>
        <v>0</v>
      </c>
    </row>
    <row r="59" spans="1:28" ht="19.5" customHeight="1" thickBot="1" x14ac:dyDescent="0.3">
      <c r="B59" s="443">
        <f>'Budget Details'!C60</f>
        <v>0</v>
      </c>
      <c r="C59" s="443" t="str">
        <f>'Budget Details'!D60</f>
        <v>Summer</v>
      </c>
      <c r="D59" s="447">
        <f>SUM('Budget Details'!AD60,'Budget Details'!AD122)</f>
        <v>0</v>
      </c>
      <c r="E59" s="447">
        <f>SUM('Budget Details'!AE60,'Budget Details'!AE122)</f>
        <v>0</v>
      </c>
      <c r="F59" s="447">
        <f>SUM('Budget Details'!AF60,'Budget Details'!AF122)</f>
        <v>0</v>
      </c>
      <c r="G59" s="447">
        <f>SUM('Budget Details'!AG60,'Budget Details'!AG122)</f>
        <v>0</v>
      </c>
      <c r="H59" s="447">
        <f>SUM('Budget Details'!AH60,'Budget Details'!AH122)</f>
        <v>0</v>
      </c>
      <c r="I59" s="447">
        <f>SUM('Budget Details'!AI60,'Budget Details'!AI122)</f>
        <v>0</v>
      </c>
      <c r="J59" s="447">
        <f>SUM('Budget Details'!AJ60,'Budget Details'!AJ122)</f>
        <v>0</v>
      </c>
      <c r="K59" s="447">
        <f>SUM('Budget Details'!AK60,'Budget Details'!AK122)</f>
        <v>0</v>
      </c>
      <c r="L59" s="447">
        <f>SUM('Budget Details'!AL60,'Budget Details'!AL122)</f>
        <v>0</v>
      </c>
      <c r="M59" s="447">
        <f>SUM('Budget Details'!AM60,'Budget Details'!AM122)</f>
        <v>0</v>
      </c>
      <c r="N59" s="480">
        <f t="shared" si="9"/>
        <v>0</v>
      </c>
      <c r="P59" s="445">
        <f>'Budget Details'!BO60</f>
        <v>0</v>
      </c>
      <c r="Q59" s="445" t="str">
        <f>'Budget Details'!BP60</f>
        <v>Summer</v>
      </c>
      <c r="R59" s="455">
        <f>SUM('Budget Details'!AP60,'Budget Details'!AP122)</f>
        <v>0</v>
      </c>
      <c r="S59" s="455">
        <f>SUM('Budget Details'!AQ60,'Budget Details'!AQ122)</f>
        <v>0</v>
      </c>
      <c r="T59" s="455">
        <f>SUM('Budget Details'!AR60,'Budget Details'!AR122)</f>
        <v>0</v>
      </c>
      <c r="U59" s="455">
        <f>SUM('Budget Details'!AS60,'Budget Details'!AS122)</f>
        <v>0</v>
      </c>
      <c r="V59" s="455">
        <f>SUM('Budget Details'!AT60,'Budget Details'!AT122)</f>
        <v>0</v>
      </c>
      <c r="W59" s="455">
        <f>SUM('Budget Details'!AU60,'Budget Details'!AU122)</f>
        <v>0</v>
      </c>
      <c r="X59" s="455">
        <f>SUM('Budget Details'!AV60,'Budget Details'!AV122)</f>
        <v>0</v>
      </c>
      <c r="Y59" s="455">
        <f>SUM('Budget Details'!AW60,'Budget Details'!AW122)</f>
        <v>0</v>
      </c>
      <c r="Z59" s="455">
        <f>SUM('Budget Details'!AX60,'Budget Details'!AX122)</f>
        <v>0</v>
      </c>
      <c r="AA59" s="455">
        <f>SUM('Budget Details'!AY60,'Budget Details'!AY122)</f>
        <v>0</v>
      </c>
      <c r="AB59" s="490">
        <f t="shared" si="8"/>
        <v>0</v>
      </c>
    </row>
    <row r="60" spans="1:28" ht="19.5" customHeight="1" x14ac:dyDescent="0.25">
      <c r="B60" s="444" t="str">
        <f>'Budget Details'!C61</f>
        <v>GRA #3</v>
      </c>
      <c r="C60" s="444" t="str">
        <f>'Budget Details'!D61</f>
        <v>Full year</v>
      </c>
      <c r="D60" s="448">
        <f>SUM('Budget Details'!AD61,'Budget Details'!AD125)</f>
        <v>0</v>
      </c>
      <c r="E60" s="448">
        <f>SUM('Budget Details'!AE61,'Budget Details'!AE125)</f>
        <v>0</v>
      </c>
      <c r="F60" s="448">
        <f>SUM('Budget Details'!AF61,'Budget Details'!AF125)</f>
        <v>0</v>
      </c>
      <c r="G60" s="448">
        <f>SUM('Budget Details'!AG61,'Budget Details'!AG125)</f>
        <v>0</v>
      </c>
      <c r="H60" s="448">
        <f>SUM('Budget Details'!AH61,'Budget Details'!AH125)</f>
        <v>0</v>
      </c>
      <c r="I60" s="448">
        <f>SUM('Budget Details'!AI61,'Budget Details'!AI125)</f>
        <v>0</v>
      </c>
      <c r="J60" s="448">
        <f>SUM('Budget Details'!AJ61,'Budget Details'!AJ125)</f>
        <v>0</v>
      </c>
      <c r="K60" s="448">
        <f>SUM('Budget Details'!AK61,'Budget Details'!AK125)</f>
        <v>0</v>
      </c>
      <c r="L60" s="448">
        <f>SUM('Budget Details'!AL61,'Budget Details'!AL125)</f>
        <v>0</v>
      </c>
      <c r="M60" s="448">
        <f>SUM('Budget Details'!AM61,'Budget Details'!AM125)</f>
        <v>0</v>
      </c>
      <c r="N60" s="481">
        <f t="shared" si="9"/>
        <v>0</v>
      </c>
      <c r="P60" s="444" t="str">
        <f>'Budget Details'!BO61</f>
        <v>GRA #3</v>
      </c>
      <c r="Q60" s="444" t="str">
        <f>'Budget Details'!BP61</f>
        <v>Full year</v>
      </c>
      <c r="R60" s="454">
        <f>SUM('Budget Details'!AP61,'Budget Details'!AP125)</f>
        <v>0</v>
      </c>
      <c r="S60" s="454">
        <f>SUM('Budget Details'!AQ61,'Budget Details'!AQ125)</f>
        <v>0</v>
      </c>
      <c r="T60" s="454">
        <f>SUM('Budget Details'!AR61,'Budget Details'!AR125)</f>
        <v>0</v>
      </c>
      <c r="U60" s="454">
        <f>SUM('Budget Details'!AS61,'Budget Details'!AS125)</f>
        <v>0</v>
      </c>
      <c r="V60" s="454">
        <f>SUM('Budget Details'!AT61,'Budget Details'!AT125)</f>
        <v>0</v>
      </c>
      <c r="W60" s="454">
        <f>SUM('Budget Details'!AU61,'Budget Details'!AU125)</f>
        <v>0</v>
      </c>
      <c r="X60" s="454">
        <f>SUM('Budget Details'!AV61,'Budget Details'!AV125)</f>
        <v>0</v>
      </c>
      <c r="Y60" s="454">
        <f>SUM('Budget Details'!AW61,'Budget Details'!AW125)</f>
        <v>0</v>
      </c>
      <c r="Z60" s="454">
        <f>SUM('Budget Details'!AX61,'Budget Details'!AX125)</f>
        <v>0</v>
      </c>
      <c r="AA60" s="454">
        <f>SUM('Budget Details'!AY61,'Budget Details'!AY125)</f>
        <v>0</v>
      </c>
      <c r="AB60" s="489">
        <f t="shared" si="8"/>
        <v>0</v>
      </c>
    </row>
    <row r="61" spans="1:28" ht="19.5" customHeight="1" thickBot="1" x14ac:dyDescent="0.3">
      <c r="B61" s="443">
        <f>'Budget Details'!C62</f>
        <v>0</v>
      </c>
      <c r="C61" s="443" t="str">
        <f>'Budget Details'!D62</f>
        <v>Summer</v>
      </c>
      <c r="D61" s="447">
        <f>SUM('Budget Details'!AD62,'Budget Details'!AD126)</f>
        <v>0</v>
      </c>
      <c r="E61" s="447">
        <f>SUM('Budget Details'!AE62,'Budget Details'!AE126)</f>
        <v>0</v>
      </c>
      <c r="F61" s="447">
        <f>SUM('Budget Details'!AF62,'Budget Details'!AF126)</f>
        <v>0</v>
      </c>
      <c r="G61" s="447">
        <f>SUM('Budget Details'!AG62,'Budget Details'!AG126)</f>
        <v>0</v>
      </c>
      <c r="H61" s="447">
        <f>SUM('Budget Details'!AH62,'Budget Details'!AH126)</f>
        <v>0</v>
      </c>
      <c r="I61" s="447">
        <f>SUM('Budget Details'!AI62,'Budget Details'!AI126)</f>
        <v>0</v>
      </c>
      <c r="J61" s="447">
        <f>SUM('Budget Details'!AJ62,'Budget Details'!AJ126)</f>
        <v>0</v>
      </c>
      <c r="K61" s="447">
        <f>SUM('Budget Details'!AK62,'Budget Details'!AK126)</f>
        <v>0</v>
      </c>
      <c r="L61" s="447">
        <f>SUM('Budget Details'!AL62,'Budget Details'!AL126)</f>
        <v>0</v>
      </c>
      <c r="M61" s="447">
        <f>SUM('Budget Details'!AM62,'Budget Details'!AM126)</f>
        <v>0</v>
      </c>
      <c r="N61" s="482">
        <f t="shared" si="9"/>
        <v>0</v>
      </c>
      <c r="P61" s="445">
        <f>'Budget Details'!BO62</f>
        <v>0</v>
      </c>
      <c r="Q61" s="445" t="str">
        <f>'Budget Details'!BP62</f>
        <v>Summer</v>
      </c>
      <c r="R61" s="455">
        <f>SUM('Budget Details'!AP62,'Budget Details'!AP126)</f>
        <v>0</v>
      </c>
      <c r="S61" s="455">
        <f>SUM('Budget Details'!AQ62,'Budget Details'!AQ126)</f>
        <v>0</v>
      </c>
      <c r="T61" s="455">
        <f>SUM('Budget Details'!AR62,'Budget Details'!AR126)</f>
        <v>0</v>
      </c>
      <c r="U61" s="455">
        <f>SUM('Budget Details'!AS62,'Budget Details'!AS126)</f>
        <v>0</v>
      </c>
      <c r="V61" s="455">
        <f>SUM('Budget Details'!AT62,'Budget Details'!AT126)</f>
        <v>0</v>
      </c>
      <c r="W61" s="455">
        <f>SUM('Budget Details'!AU62,'Budget Details'!AU126)</f>
        <v>0</v>
      </c>
      <c r="X61" s="455">
        <f>SUM('Budget Details'!AV62,'Budget Details'!AV126)</f>
        <v>0</v>
      </c>
      <c r="Y61" s="455">
        <f>SUM('Budget Details'!AW62,'Budget Details'!AW126)</f>
        <v>0</v>
      </c>
      <c r="Z61" s="455">
        <f>SUM('Budget Details'!AX62,'Budget Details'!AX126)</f>
        <v>0</v>
      </c>
      <c r="AA61" s="455">
        <f>SUM('Budget Details'!AY62,'Budget Details'!AY126)</f>
        <v>0</v>
      </c>
      <c r="AB61" s="487">
        <f t="shared" si="8"/>
        <v>0</v>
      </c>
    </row>
    <row r="62" spans="1:28" ht="19.5" customHeight="1" x14ac:dyDescent="0.25">
      <c r="B62" s="444" t="str">
        <f>'Budget Details'!C63</f>
        <v>GRA #4</v>
      </c>
      <c r="C62" s="444" t="str">
        <f>'Budget Details'!D63</f>
        <v>Full year</v>
      </c>
      <c r="D62" s="448">
        <f>SUM('Budget Details'!AD63,'Budget Details'!AD129)</f>
        <v>0</v>
      </c>
      <c r="E62" s="448">
        <f>SUM('Budget Details'!AE63,'Budget Details'!AE129)</f>
        <v>0</v>
      </c>
      <c r="F62" s="448">
        <f>SUM('Budget Details'!AF63,'Budget Details'!AF129)</f>
        <v>0</v>
      </c>
      <c r="G62" s="449">
        <f>SUM('Budget Details'!AG63,'Budget Details'!AG129)</f>
        <v>0</v>
      </c>
      <c r="H62" s="448">
        <f>SUM('Budget Details'!AH63,'Budget Details'!AH129)</f>
        <v>0</v>
      </c>
      <c r="I62" s="448">
        <f>SUM('Budget Details'!AI63,'Budget Details'!AI129)</f>
        <v>0</v>
      </c>
      <c r="J62" s="448">
        <f>SUM('Budget Details'!AJ63,'Budget Details'!AJ129)</f>
        <v>0</v>
      </c>
      <c r="K62" s="448">
        <f>SUM('Budget Details'!AK63,'Budget Details'!AK129)</f>
        <v>0</v>
      </c>
      <c r="L62" s="448">
        <f>SUM('Budget Details'!AL63,'Budget Details'!AL129)</f>
        <v>0</v>
      </c>
      <c r="M62" s="448">
        <f>SUM('Budget Details'!AM63,'Budget Details'!AM129)</f>
        <v>0</v>
      </c>
      <c r="N62" s="483">
        <f t="shared" si="9"/>
        <v>0</v>
      </c>
      <c r="P62" s="444" t="str">
        <f>'Budget Details'!BO63</f>
        <v>GRA #4</v>
      </c>
      <c r="Q62" s="444" t="str">
        <f>'Budget Details'!BP63</f>
        <v>Full year</v>
      </c>
      <c r="R62" s="454">
        <f>SUM('Budget Details'!AP63,'Budget Details'!AP129)</f>
        <v>0</v>
      </c>
      <c r="S62" s="454">
        <f>SUM('Budget Details'!AQ63,'Budget Details'!AQ129)</f>
        <v>0</v>
      </c>
      <c r="T62" s="454">
        <f>SUM('Budget Details'!AR63,'Budget Details'!AR129)</f>
        <v>0</v>
      </c>
      <c r="U62" s="454">
        <f>SUM('Budget Details'!AS63,'Budget Details'!AS129)</f>
        <v>0</v>
      </c>
      <c r="V62" s="454">
        <f>SUM('Budget Details'!AT63,'Budget Details'!AT129)</f>
        <v>0</v>
      </c>
      <c r="W62" s="454">
        <f>SUM('Budget Details'!AU63,'Budget Details'!AU129)</f>
        <v>0</v>
      </c>
      <c r="X62" s="454">
        <f>SUM('Budget Details'!AV63,'Budget Details'!AV129)</f>
        <v>0</v>
      </c>
      <c r="Y62" s="454">
        <f>SUM('Budget Details'!AW63,'Budget Details'!AW129)</f>
        <v>0</v>
      </c>
      <c r="Z62" s="454">
        <f>SUM('Budget Details'!AX63,'Budget Details'!AX129)</f>
        <v>0</v>
      </c>
      <c r="AA62" s="454">
        <f>SUM('Budget Details'!AY63,'Budget Details'!AY129)</f>
        <v>0</v>
      </c>
      <c r="AB62" s="488">
        <f t="shared" si="8"/>
        <v>0</v>
      </c>
    </row>
    <row r="63" spans="1:28" ht="19.5" customHeight="1" thickBot="1" x14ac:dyDescent="0.3">
      <c r="B63" s="443">
        <f>'Budget Details'!C64</f>
        <v>0</v>
      </c>
      <c r="C63" s="443" t="str">
        <f>'Budget Details'!D64</f>
        <v>Summer</v>
      </c>
      <c r="D63" s="447">
        <f>SUM('Budget Details'!AD64,'Budget Details'!AD130)</f>
        <v>0</v>
      </c>
      <c r="E63" s="447">
        <f>SUM('Budget Details'!AE64,'Budget Details'!AE130)</f>
        <v>0</v>
      </c>
      <c r="F63" s="447">
        <f>SUM('Budget Details'!AF64,'Budget Details'!AF130)</f>
        <v>0</v>
      </c>
      <c r="G63" s="447">
        <f>SUM('Budget Details'!AG64,'Budget Details'!AG130)</f>
        <v>0</v>
      </c>
      <c r="H63" s="447">
        <f>SUM('Budget Details'!AH64,'Budget Details'!AH130)</f>
        <v>0</v>
      </c>
      <c r="I63" s="447">
        <f>SUM('Budget Details'!AI64,'Budget Details'!AI130)</f>
        <v>0</v>
      </c>
      <c r="J63" s="447">
        <f>SUM('Budget Details'!AJ64,'Budget Details'!AJ130)</f>
        <v>0</v>
      </c>
      <c r="K63" s="447">
        <f>SUM('Budget Details'!AK64,'Budget Details'!AK130)</f>
        <v>0</v>
      </c>
      <c r="L63" s="447">
        <f>SUM('Budget Details'!AL64,'Budget Details'!AL130)</f>
        <v>0</v>
      </c>
      <c r="M63" s="447">
        <f>SUM('Budget Details'!AM64,'Budget Details'!AM130)</f>
        <v>0</v>
      </c>
      <c r="N63" s="480">
        <f t="shared" si="9"/>
        <v>0</v>
      </c>
      <c r="P63" s="445">
        <f>'Budget Details'!BO64</f>
        <v>0</v>
      </c>
      <c r="Q63" s="445" t="str">
        <f>'Budget Details'!BP64</f>
        <v>Summer</v>
      </c>
      <c r="R63" s="455">
        <f>SUM('Budget Details'!AP64,'Budget Details'!AP130)</f>
        <v>0</v>
      </c>
      <c r="S63" s="455">
        <f>SUM('Budget Details'!AQ64,'Budget Details'!AQ130)</f>
        <v>0</v>
      </c>
      <c r="T63" s="455">
        <f>SUM('Budget Details'!AR64,'Budget Details'!AR130)</f>
        <v>0</v>
      </c>
      <c r="U63" s="455">
        <f>SUM('Budget Details'!AS64,'Budget Details'!AS130)</f>
        <v>0</v>
      </c>
      <c r="V63" s="455">
        <f>SUM('Budget Details'!AT64,'Budget Details'!AT130)</f>
        <v>0</v>
      </c>
      <c r="W63" s="455">
        <f>SUM('Budget Details'!AU64,'Budget Details'!AU130)</f>
        <v>0</v>
      </c>
      <c r="X63" s="455">
        <f>SUM('Budget Details'!AV64,'Budget Details'!AV130)</f>
        <v>0</v>
      </c>
      <c r="Y63" s="455">
        <f>SUM('Budget Details'!AW64,'Budget Details'!AW130)</f>
        <v>0</v>
      </c>
      <c r="Z63" s="455">
        <f>SUM('Budget Details'!AX64,'Budget Details'!AX130)</f>
        <v>0</v>
      </c>
      <c r="AA63" s="455">
        <f>SUM('Budget Details'!AY64,'Budget Details'!AY130)</f>
        <v>0</v>
      </c>
      <c r="AB63" s="487">
        <f t="shared" si="8"/>
        <v>0</v>
      </c>
    </row>
    <row r="64" spans="1:28" ht="19.5" customHeight="1" x14ac:dyDescent="0.25">
      <c r="B64" s="444" t="str">
        <f>'Budget Details'!C65</f>
        <v>GRA #5</v>
      </c>
      <c r="C64" s="444" t="str">
        <f>'Budget Details'!D65</f>
        <v>Full year</v>
      </c>
      <c r="D64" s="448">
        <f>SUM('Budget Details'!AD65,'Budget Details'!AD133)</f>
        <v>0</v>
      </c>
      <c r="E64" s="448">
        <f>SUM('Budget Details'!AE65,'Budget Details'!AE133)</f>
        <v>0</v>
      </c>
      <c r="F64" s="448">
        <f>SUM('Budget Details'!AF65,'Budget Details'!AF133)</f>
        <v>0</v>
      </c>
      <c r="G64" s="448">
        <f>SUM('Budget Details'!AG65,'Budget Details'!AG133)</f>
        <v>0</v>
      </c>
      <c r="H64" s="448">
        <f>SUM('Budget Details'!AH65,'Budget Details'!AH133)</f>
        <v>0</v>
      </c>
      <c r="I64" s="448">
        <f>SUM('Budget Details'!AI65,'Budget Details'!AI133)</f>
        <v>0</v>
      </c>
      <c r="J64" s="448">
        <f>SUM('Budget Details'!AJ65,'Budget Details'!AJ133)</f>
        <v>0</v>
      </c>
      <c r="K64" s="448">
        <f>SUM('Budget Details'!AK65,'Budget Details'!AK133)</f>
        <v>0</v>
      </c>
      <c r="L64" s="448">
        <f>SUM('Budget Details'!AL65,'Budget Details'!AL133)</f>
        <v>0</v>
      </c>
      <c r="M64" s="448">
        <f>SUM('Budget Details'!AM65,'Budget Details'!AM133)</f>
        <v>0</v>
      </c>
      <c r="N64" s="481">
        <f t="shared" si="9"/>
        <v>0</v>
      </c>
      <c r="P64" s="444" t="str">
        <f>'Budget Details'!BO65</f>
        <v>GRA #5</v>
      </c>
      <c r="Q64" s="444" t="str">
        <f>'Budget Details'!BP65</f>
        <v>Full year</v>
      </c>
      <c r="R64" s="454">
        <f>SUM('Budget Details'!AP65,'Budget Details'!AP133)</f>
        <v>0</v>
      </c>
      <c r="S64" s="454">
        <f>SUM('Budget Details'!AQ65,'Budget Details'!AQ133)</f>
        <v>0</v>
      </c>
      <c r="T64" s="454">
        <f>SUM('Budget Details'!AR65,'Budget Details'!AR133)</f>
        <v>0</v>
      </c>
      <c r="U64" s="454">
        <f>SUM('Budget Details'!AS65,'Budget Details'!AS133)</f>
        <v>0</v>
      </c>
      <c r="V64" s="454">
        <f>SUM('Budget Details'!AT65,'Budget Details'!AT133)</f>
        <v>0</v>
      </c>
      <c r="W64" s="454">
        <f>SUM('Budget Details'!AU65,'Budget Details'!AU133)</f>
        <v>0</v>
      </c>
      <c r="X64" s="454">
        <f>SUM('Budget Details'!AV65,'Budget Details'!AV133)</f>
        <v>0</v>
      </c>
      <c r="Y64" s="454">
        <f>SUM('Budget Details'!AW65,'Budget Details'!AW133)</f>
        <v>0</v>
      </c>
      <c r="Z64" s="454">
        <f>SUM('Budget Details'!AX65,'Budget Details'!AX133)</f>
        <v>0</v>
      </c>
      <c r="AA64" s="454">
        <f>SUM('Budget Details'!AY65,'Budget Details'!AY133)</f>
        <v>0</v>
      </c>
      <c r="AB64" s="488">
        <f t="shared" si="8"/>
        <v>0</v>
      </c>
    </row>
    <row r="65" spans="2:28" ht="19.5" customHeight="1" x14ac:dyDescent="0.25">
      <c r="B65" s="442">
        <f>'Budget Details'!C66</f>
        <v>0</v>
      </c>
      <c r="C65" s="442" t="str">
        <f>'Budget Details'!D66</f>
        <v>Summer</v>
      </c>
      <c r="D65" s="446">
        <f>SUM('Budget Details'!AD66,'Budget Details'!AD134)</f>
        <v>0</v>
      </c>
      <c r="E65" s="446">
        <f>SUM('Budget Details'!AE66,'Budget Details'!AE134)</f>
        <v>0</v>
      </c>
      <c r="F65" s="446">
        <f>SUM('Budget Details'!AF66,'Budget Details'!AF134)</f>
        <v>0</v>
      </c>
      <c r="G65" s="446">
        <f>SUM('Budget Details'!AG66,'Budget Details'!AG134)</f>
        <v>0</v>
      </c>
      <c r="H65" s="446">
        <f>SUM('Budget Details'!AH66,'Budget Details'!AH134)</f>
        <v>0</v>
      </c>
      <c r="I65" s="446">
        <f>SUM('Budget Details'!AI66,'Budget Details'!AI134)</f>
        <v>0</v>
      </c>
      <c r="J65" s="446">
        <f>SUM('Budget Details'!AJ66,'Budget Details'!AJ134)</f>
        <v>0</v>
      </c>
      <c r="K65" s="446">
        <f>SUM('Budget Details'!AK66,'Budget Details'!AK134)</f>
        <v>0</v>
      </c>
      <c r="L65" s="446">
        <f>SUM('Budget Details'!AL66,'Budget Details'!AL134)</f>
        <v>0</v>
      </c>
      <c r="M65" s="446">
        <f>SUM('Budget Details'!AM66,'Budget Details'!AM134)</f>
        <v>0</v>
      </c>
      <c r="N65" s="479">
        <f t="shared" si="9"/>
        <v>0</v>
      </c>
      <c r="P65" s="471">
        <f>'Budget Details'!BO66</f>
        <v>0</v>
      </c>
      <c r="Q65" s="471" t="str">
        <f>'Budget Details'!BP66</f>
        <v>Summer</v>
      </c>
      <c r="R65" s="472">
        <f>SUM('Budget Details'!AP66,'Budget Details'!AP134)</f>
        <v>0</v>
      </c>
      <c r="S65" s="472">
        <f>SUM('Budget Details'!AQ66,'Budget Details'!AQ134)</f>
        <v>0</v>
      </c>
      <c r="T65" s="472">
        <f>SUM('Budget Details'!AR66,'Budget Details'!AR134)</f>
        <v>0</v>
      </c>
      <c r="U65" s="472">
        <f>SUM('Budget Details'!AS66,'Budget Details'!AS134)</f>
        <v>0</v>
      </c>
      <c r="V65" s="472">
        <f>SUM('Budget Details'!AT66,'Budget Details'!AT134)</f>
        <v>0</v>
      </c>
      <c r="W65" s="472">
        <f>SUM('Budget Details'!AU66,'Budget Details'!AU134)</f>
        <v>0</v>
      </c>
      <c r="X65" s="472">
        <f>SUM('Budget Details'!AV66,'Budget Details'!AV134)</f>
        <v>0</v>
      </c>
      <c r="Y65" s="472">
        <f>SUM('Budget Details'!AW66,'Budget Details'!AW134)</f>
        <v>0</v>
      </c>
      <c r="Z65" s="472">
        <f>SUM('Budget Details'!AX66,'Budget Details'!AX134)</f>
        <v>0</v>
      </c>
      <c r="AA65" s="472">
        <f>SUM('Budget Details'!AY66,'Budget Details'!AY134)</f>
        <v>0</v>
      </c>
      <c r="AB65" s="486">
        <f t="shared" si="8"/>
        <v>0</v>
      </c>
    </row>
    <row r="66" spans="2:28" ht="19.5" customHeight="1" x14ac:dyDescent="0.25">
      <c r="B66" s="968" t="s">
        <v>403</v>
      </c>
      <c r="C66" s="968"/>
      <c r="D66" s="474">
        <f>SUM(D56:D57,D58:D59,D60:D61,D62:D63,D64:D65)</f>
        <v>0</v>
      </c>
      <c r="E66" s="474">
        <f t="shared" ref="E66:M66" si="10">SUM(E56:E57,E58:E59,E60:E61,E62:E63,E64:E65)</f>
        <v>0</v>
      </c>
      <c r="F66" s="474">
        <f t="shared" si="10"/>
        <v>0</v>
      </c>
      <c r="G66" s="474">
        <f t="shared" si="10"/>
        <v>0</v>
      </c>
      <c r="H66" s="474">
        <f t="shared" si="10"/>
        <v>0</v>
      </c>
      <c r="I66" s="474">
        <f t="shared" si="10"/>
        <v>0</v>
      </c>
      <c r="J66" s="474">
        <f t="shared" si="10"/>
        <v>0</v>
      </c>
      <c r="K66" s="474">
        <f t="shared" si="10"/>
        <v>0</v>
      </c>
      <c r="L66" s="474">
        <f t="shared" si="10"/>
        <v>0</v>
      </c>
      <c r="M66" s="474">
        <f t="shared" si="10"/>
        <v>0</v>
      </c>
      <c r="N66" s="479">
        <f>SUM(D66:M66)</f>
        <v>0</v>
      </c>
      <c r="P66" s="967" t="s">
        <v>403</v>
      </c>
      <c r="Q66" s="967"/>
      <c r="R66" s="470">
        <f>SUM(R56:R57,R58:R59,R60:R61,R62:R63,R64:R65)</f>
        <v>0</v>
      </c>
      <c r="S66" s="470">
        <f t="shared" ref="S66:AA66" si="11">SUM(S56:S57,S58:S59,S60:S61,S62:S63,S64:S65)</f>
        <v>0</v>
      </c>
      <c r="T66" s="470">
        <f t="shared" si="11"/>
        <v>0</v>
      </c>
      <c r="U66" s="470">
        <f t="shared" si="11"/>
        <v>0</v>
      </c>
      <c r="V66" s="470">
        <f t="shared" si="11"/>
        <v>0</v>
      </c>
      <c r="W66" s="470">
        <f t="shared" si="11"/>
        <v>0</v>
      </c>
      <c r="X66" s="470">
        <f t="shared" si="11"/>
        <v>0</v>
      </c>
      <c r="Y66" s="470">
        <f t="shared" si="11"/>
        <v>0</v>
      </c>
      <c r="Z66" s="470">
        <f t="shared" si="11"/>
        <v>0</v>
      </c>
      <c r="AA66" s="470">
        <f t="shared" si="11"/>
        <v>0</v>
      </c>
      <c r="AB66" s="486">
        <f t="shared" si="8"/>
        <v>0</v>
      </c>
    </row>
  </sheetData>
  <mergeCells count="65">
    <mergeCell ref="D54:H54"/>
    <mergeCell ref="B53:H53"/>
    <mergeCell ref="P53:V53"/>
    <mergeCell ref="R54:V54"/>
    <mergeCell ref="P47:Q47"/>
    <mergeCell ref="P48:Q48"/>
    <mergeCell ref="P49:Q49"/>
    <mergeCell ref="P50:Q50"/>
    <mergeCell ref="B50:C50"/>
    <mergeCell ref="B49:C49"/>
    <mergeCell ref="B48:C48"/>
    <mergeCell ref="B47:C47"/>
    <mergeCell ref="B51:C51"/>
    <mergeCell ref="A1:E1"/>
    <mergeCell ref="P28:V28"/>
    <mergeCell ref="A28:H28"/>
    <mergeCell ref="P41:Q41"/>
    <mergeCell ref="P42:Q42"/>
    <mergeCell ref="P29:Q30"/>
    <mergeCell ref="R29:V29"/>
    <mergeCell ref="P31:Q31"/>
    <mergeCell ref="P32:Q32"/>
    <mergeCell ref="P33:Q33"/>
    <mergeCell ref="P34:Q34"/>
    <mergeCell ref="P3:V3"/>
    <mergeCell ref="P4:P5"/>
    <mergeCell ref="Q4:Q5"/>
    <mergeCell ref="R4:V4"/>
    <mergeCell ref="B35:C35"/>
    <mergeCell ref="P45:Q45"/>
    <mergeCell ref="P46:Q46"/>
    <mergeCell ref="P35:Q35"/>
    <mergeCell ref="P36:Q36"/>
    <mergeCell ref="P37:Q37"/>
    <mergeCell ref="P38:Q38"/>
    <mergeCell ref="P39:Q39"/>
    <mergeCell ref="P40:Q40"/>
    <mergeCell ref="D4:H4"/>
    <mergeCell ref="A3:H3"/>
    <mergeCell ref="D29:H29"/>
    <mergeCell ref="B36:C36"/>
    <mergeCell ref="B31:C31"/>
    <mergeCell ref="B33:C33"/>
    <mergeCell ref="B32:C32"/>
    <mergeCell ref="B4:B5"/>
    <mergeCell ref="C4:C5"/>
    <mergeCell ref="B29:C30"/>
    <mergeCell ref="B34:C34"/>
    <mergeCell ref="B26:C26"/>
    <mergeCell ref="P26:Q26"/>
    <mergeCell ref="P51:Q51"/>
    <mergeCell ref="P66:Q66"/>
    <mergeCell ref="B66:C66"/>
    <mergeCell ref="B46:C46"/>
    <mergeCell ref="B45:C45"/>
    <mergeCell ref="B44:C44"/>
    <mergeCell ref="B43:C43"/>
    <mergeCell ref="B42:C42"/>
    <mergeCell ref="B41:C41"/>
    <mergeCell ref="B40:C40"/>
    <mergeCell ref="B39:C39"/>
    <mergeCell ref="B38:C38"/>
    <mergeCell ref="B37:C37"/>
    <mergeCell ref="P43:Q43"/>
    <mergeCell ref="P44:Q44"/>
  </mergeCells>
  <phoneticPr fontId="13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3F10A-FF11-481A-9C20-6565FF50CA9F}">
  <sheetPr>
    <tabColor theme="7" tint="0.39997558519241921"/>
  </sheetPr>
  <dimension ref="B1:P26"/>
  <sheetViews>
    <sheetView workbookViewId="0">
      <selection activeCell="D22" sqref="D22"/>
    </sheetView>
  </sheetViews>
  <sheetFormatPr defaultRowHeight="12.75" x14ac:dyDescent="0.2"/>
  <cols>
    <col min="2" max="2" width="41.140625" customWidth="1"/>
    <col min="3" max="3" width="17.28515625" customWidth="1"/>
  </cols>
  <sheetData>
    <row r="1" spans="2:16" ht="15.75" x14ac:dyDescent="0.25">
      <c r="B1" s="978" t="s">
        <v>412</v>
      </c>
      <c r="C1" s="978"/>
      <c r="D1" s="387"/>
    </row>
    <row r="2" spans="2:16" ht="16.5" x14ac:dyDescent="0.3">
      <c r="B2" s="388" t="s">
        <v>413</v>
      </c>
      <c r="C2" s="388" t="s">
        <v>414</v>
      </c>
      <c r="D2" s="387"/>
    </row>
    <row r="3" spans="2:16" ht="15.75" x14ac:dyDescent="0.25">
      <c r="B3" s="389" t="s">
        <v>309</v>
      </c>
      <c r="C3" s="390">
        <v>0.52500000000000002</v>
      </c>
      <c r="D3" s="387"/>
      <c r="M3" s="15"/>
      <c r="N3" s="15"/>
      <c r="O3" s="15"/>
      <c r="P3" s="15"/>
    </row>
    <row r="4" spans="2:16" ht="13.5" customHeight="1" x14ac:dyDescent="0.25">
      <c r="B4" s="389" t="s">
        <v>415</v>
      </c>
      <c r="C4" s="390">
        <v>0.51200000000000001</v>
      </c>
      <c r="D4" s="387"/>
      <c r="M4" s="16"/>
      <c r="N4" s="16"/>
      <c r="O4" s="16"/>
      <c r="P4" s="16"/>
    </row>
    <row r="5" spans="2:16" ht="15.75" x14ac:dyDescent="0.25">
      <c r="B5" s="389" t="s">
        <v>416</v>
      </c>
      <c r="C5" s="390">
        <v>0.29399999999999998</v>
      </c>
      <c r="D5" s="387"/>
      <c r="K5" s="17"/>
      <c r="L5" s="17"/>
      <c r="M5" s="17"/>
      <c r="N5" s="17"/>
      <c r="O5" s="17"/>
      <c r="P5" s="17"/>
    </row>
    <row r="6" spans="2:16" ht="13.5" customHeight="1" x14ac:dyDescent="0.25">
      <c r="B6" s="389" t="s">
        <v>417</v>
      </c>
      <c r="C6" s="390">
        <v>0.26</v>
      </c>
      <c r="D6" s="387"/>
      <c r="K6" s="3"/>
      <c r="L6" s="3"/>
      <c r="M6" s="3"/>
      <c r="N6" s="3"/>
      <c r="O6" s="3"/>
      <c r="P6" s="3"/>
    </row>
    <row r="7" spans="2:16" ht="15.75" x14ac:dyDescent="0.25">
      <c r="B7" s="389" t="s">
        <v>418</v>
      </c>
      <c r="C7" s="390">
        <v>0.26</v>
      </c>
      <c r="D7" s="387"/>
    </row>
    <row r="8" spans="2:16" ht="15.75" x14ac:dyDescent="0.25">
      <c r="B8" s="389" t="s">
        <v>419</v>
      </c>
      <c r="C8" s="390">
        <v>0.23699999999999999</v>
      </c>
      <c r="D8" s="387"/>
    </row>
    <row r="9" spans="2:16" ht="15.75" x14ac:dyDescent="0.25">
      <c r="B9" s="389" t="s">
        <v>420</v>
      </c>
      <c r="C9" s="390">
        <v>0.17499999999999999</v>
      </c>
      <c r="D9" s="387"/>
    </row>
    <row r="10" spans="2:16" ht="15.75" x14ac:dyDescent="0.25">
      <c r="B10" s="389" t="s">
        <v>421</v>
      </c>
      <c r="C10" s="391">
        <v>0</v>
      </c>
      <c r="D10" s="387"/>
    </row>
    <row r="11" spans="2:16" ht="15.75" x14ac:dyDescent="0.25">
      <c r="B11" s="389" t="s">
        <v>311</v>
      </c>
      <c r="C11" s="391">
        <v>0</v>
      </c>
      <c r="D11" s="387"/>
    </row>
    <row r="12" spans="2:16" ht="15.75" x14ac:dyDescent="0.25">
      <c r="B12" s="389" t="s">
        <v>422</v>
      </c>
      <c r="C12" s="391">
        <v>0</v>
      </c>
      <c r="D12" s="387"/>
    </row>
    <row r="13" spans="2:16" ht="15.75" x14ac:dyDescent="0.25">
      <c r="B13" s="387"/>
      <c r="C13" s="387"/>
      <c r="D13" s="387"/>
    </row>
    <row r="14" spans="2:16" ht="16.5" thickBot="1" x14ac:dyDescent="0.3">
      <c r="B14" s="387" t="s">
        <v>423</v>
      </c>
      <c r="C14" s="387"/>
      <c r="D14" s="387"/>
    </row>
    <row r="15" spans="2:16" ht="16.5" x14ac:dyDescent="0.3">
      <c r="B15" s="392" t="s">
        <v>424</v>
      </c>
      <c r="C15" s="393">
        <v>12320</v>
      </c>
      <c r="D15" s="387"/>
    </row>
    <row r="16" spans="2:16" ht="17.25" thickBot="1" x14ac:dyDescent="0.35">
      <c r="B16" s="394" t="s">
        <v>425</v>
      </c>
      <c r="C16" s="395">
        <v>6160</v>
      </c>
      <c r="D16" s="396"/>
    </row>
    <row r="17" spans="2:4" ht="15.75" x14ac:dyDescent="0.25">
      <c r="B17" s="387"/>
      <c r="C17" s="387"/>
      <c r="D17" s="387"/>
    </row>
    <row r="18" spans="2:4" ht="15.75" x14ac:dyDescent="0.25">
      <c r="B18" s="387"/>
      <c r="C18" s="387"/>
      <c r="D18" s="387"/>
    </row>
    <row r="19" spans="2:4" ht="16.5" thickBot="1" x14ac:dyDescent="0.3">
      <c r="B19" s="387" t="s">
        <v>426</v>
      </c>
      <c r="C19" s="387"/>
      <c r="D19" s="387"/>
    </row>
    <row r="20" spans="2:4" ht="16.5" thickBot="1" x14ac:dyDescent="0.3">
      <c r="B20" s="397" t="s">
        <v>427</v>
      </c>
      <c r="C20" s="397" t="s">
        <v>244</v>
      </c>
      <c r="D20" s="387"/>
    </row>
    <row r="21" spans="2:4" ht="17.25" thickBot="1" x14ac:dyDescent="0.35">
      <c r="B21" s="398" t="s">
        <v>206</v>
      </c>
      <c r="C21" s="399">
        <v>2765</v>
      </c>
      <c r="D21" s="387" t="s">
        <v>428</v>
      </c>
    </row>
    <row r="22" spans="2:4" ht="17.25" thickBot="1" x14ac:dyDescent="0.35">
      <c r="B22" s="398" t="s">
        <v>429</v>
      </c>
      <c r="C22" s="399">
        <v>1045</v>
      </c>
      <c r="D22" s="387" t="s">
        <v>430</v>
      </c>
    </row>
    <row r="23" spans="2:4" ht="17.25" thickBot="1" x14ac:dyDescent="0.35">
      <c r="B23" s="398" t="s">
        <v>431</v>
      </c>
      <c r="C23" s="399">
        <v>1720</v>
      </c>
      <c r="D23" s="387" t="s">
        <v>432</v>
      </c>
    </row>
    <row r="24" spans="2:4" ht="17.25" thickBot="1" x14ac:dyDescent="0.35">
      <c r="B24" s="398" t="s">
        <v>280</v>
      </c>
      <c r="C24" s="399"/>
      <c r="D24" s="387"/>
    </row>
    <row r="25" spans="2:4" ht="17.25" thickBot="1" x14ac:dyDescent="0.35">
      <c r="B25" s="398" t="s">
        <v>433</v>
      </c>
      <c r="C25" s="399">
        <v>705</v>
      </c>
      <c r="D25" s="387" t="s">
        <v>434</v>
      </c>
    </row>
    <row r="26" spans="2:4" ht="15.75" x14ac:dyDescent="0.25">
      <c r="B26" s="387"/>
      <c r="C26" s="387"/>
      <c r="D26" s="387"/>
    </row>
  </sheetData>
  <mergeCells count="1">
    <mergeCell ref="B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3A01F4FA7C9454A8938C55A82822659" ma:contentTypeVersion="13" ma:contentTypeDescription="Create a new document." ma:contentTypeScope="" ma:versionID="888c72fe128949734db40908d98a136f">
  <xsd:schema xmlns:xsd="http://www.w3.org/2001/XMLSchema" xmlns:xs="http://www.w3.org/2001/XMLSchema" xmlns:p="http://schemas.microsoft.com/office/2006/metadata/properties" xmlns:ns2="4d2a1a61-3b4c-4339-8ec3-dd85a7bf061c" xmlns:ns3="c2df3362-317e-45da-923b-8d918f0bb8f1" targetNamespace="http://schemas.microsoft.com/office/2006/metadata/properties" ma:root="true" ma:fieldsID="1e28593fde5eb4eab801640636d179ad" ns2:_="" ns3:_="">
    <xsd:import namespace="4d2a1a61-3b4c-4339-8ec3-dd85a7bf061c"/>
    <xsd:import namespace="c2df3362-317e-45da-923b-8d918f0bb8f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2a1a61-3b4c-4339-8ec3-dd85a7bf06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ab86591-d70f-4a96-900c-bfbe5e6a318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df3362-317e-45da-923b-8d918f0bb8f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2a1a61-3b4c-4339-8ec3-dd85a7bf06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790C8D-34AC-4CF0-A6B5-7A8C64919F00}">
  <ds:schemaRefs>
    <ds:schemaRef ds:uri="http://schemas.microsoft.com/sharepoint/v3/contenttype/forms"/>
  </ds:schemaRefs>
</ds:datastoreItem>
</file>

<file path=customXml/itemProps2.xml><?xml version="1.0" encoding="utf-8"?>
<ds:datastoreItem xmlns:ds="http://schemas.openxmlformats.org/officeDocument/2006/customXml" ds:itemID="{9D01829F-EB30-42BA-AE48-F4D87D4FD9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2a1a61-3b4c-4339-8ec3-dd85a7bf061c"/>
    <ds:schemaRef ds:uri="c2df3362-317e-45da-923b-8d918f0bb8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FAD69D-0838-4D78-AD57-82BE01A9C945}">
  <ds:schemaRefs>
    <ds:schemaRef ds:uri="http://schemas.microsoft.com/office/2006/metadata/properties"/>
    <ds:schemaRef ds:uri="http://schemas.microsoft.com/office/infopath/2007/PartnerControls"/>
    <ds:schemaRef ds:uri="4d2a1a61-3b4c-4339-8ec3-dd85a7bf061c"/>
  </ds:schemaRefs>
</ds:datastoreItem>
</file>

<file path=docMetadata/LabelInfo.xml><?xml version="1.0" encoding="utf-8"?>
<clbl:labelList xmlns:clbl="http://schemas.microsoft.com/office/2020/mipLabelMetadata">
  <clbl:label id="{e87c980e-01ca-41eb-af50-bc5599558542}" enabled="1" method="Privileged" siteId="{27d49e9f-89e1-4aa0-99a3-d35b57b2ba0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655</vt:i4>
      </vt:variant>
    </vt:vector>
  </HeadingPairs>
  <TitlesOfParts>
    <vt:vector size="661" baseType="lpstr">
      <vt:lpstr>Start Here</vt:lpstr>
      <vt:lpstr>Budget Details</vt:lpstr>
      <vt:lpstr>Cumulative</vt:lpstr>
      <vt:lpstr> Travel Calculator</vt:lpstr>
      <vt:lpstr>Summary_of_Personnel Costs </vt:lpstr>
      <vt:lpstr>Rates</vt:lpstr>
      <vt:lpstr>CompSvcsTot</vt:lpstr>
      <vt:lpstr>ConsultantTot</vt:lpstr>
      <vt:lpstr>cs.Equip1</vt:lpstr>
      <vt:lpstr>cs.Equip10</vt:lpstr>
      <vt:lpstr>cs.Equip2</vt:lpstr>
      <vt:lpstr>cs.Equip3</vt:lpstr>
      <vt:lpstr>cs.Equip4</vt:lpstr>
      <vt:lpstr>cs.Equip5</vt:lpstr>
      <vt:lpstr>cs.Equip6</vt:lpstr>
      <vt:lpstr>cs.Equip7</vt:lpstr>
      <vt:lpstr>cs.Equip8</vt:lpstr>
      <vt:lpstr>cs.Equip9</vt:lpstr>
      <vt:lpstr>cs.EquipTot</vt:lpstr>
      <vt:lpstr>cs.ExclSub1Yr1</vt:lpstr>
      <vt:lpstr>cs.ExclSub1Yr10</vt:lpstr>
      <vt:lpstr>cs.ExclSub1Yr2</vt:lpstr>
      <vt:lpstr>cs.ExclSub1Yr3</vt:lpstr>
      <vt:lpstr>cs.ExclSub1Yr4</vt:lpstr>
      <vt:lpstr>cs.ExclSub1Yr5</vt:lpstr>
      <vt:lpstr>cs.ExclSub1Yr6</vt:lpstr>
      <vt:lpstr>cs.ExclSub1Yr7</vt:lpstr>
      <vt:lpstr>cs.ExclSub1Yr8</vt:lpstr>
      <vt:lpstr>cs.ExclSub1Yr9</vt:lpstr>
      <vt:lpstr>cs.ExclSub2Yr1</vt:lpstr>
      <vt:lpstr>cs.ExclSub2Yr10</vt:lpstr>
      <vt:lpstr>cs.ExclSub2Yr2</vt:lpstr>
      <vt:lpstr>cs.ExclSub2Yr3</vt:lpstr>
      <vt:lpstr>cs.ExclSub2Yr4</vt:lpstr>
      <vt:lpstr>cs.ExclSub2Yr5</vt:lpstr>
      <vt:lpstr>cs.ExclSub2Yr6</vt:lpstr>
      <vt:lpstr>cs.ExclSub2Yr7</vt:lpstr>
      <vt:lpstr>cs.ExclSub2Yr8</vt:lpstr>
      <vt:lpstr>cs.ExclSub2Yr9</vt:lpstr>
      <vt:lpstr>cs.ExclSub3Yr1</vt:lpstr>
      <vt:lpstr>cs.ExclSub3Yr10</vt:lpstr>
      <vt:lpstr>cs.ExclSub3Yr2</vt:lpstr>
      <vt:lpstr>cs.ExclSub3Yr3</vt:lpstr>
      <vt:lpstr>cs.ExclSub3Yr4</vt:lpstr>
      <vt:lpstr>cs.ExclSub3Yr5</vt:lpstr>
      <vt:lpstr>cs.ExclSub3Yr6</vt:lpstr>
      <vt:lpstr>cs.ExclSub3Yr7</vt:lpstr>
      <vt:lpstr>cs.ExclSub3Yr8</vt:lpstr>
      <vt:lpstr>cs.ExclSub3Yr9</vt:lpstr>
      <vt:lpstr>cs.ExclSub4Yr1</vt:lpstr>
      <vt:lpstr>cs.ExclSub4Yr10</vt:lpstr>
      <vt:lpstr>cs.ExclSub4Yr2</vt:lpstr>
      <vt:lpstr>cs.ExclSub4Yr3</vt:lpstr>
      <vt:lpstr>cs.ExclSub4Yr4</vt:lpstr>
      <vt:lpstr>cs.ExclSub4Yr5</vt:lpstr>
      <vt:lpstr>cs.ExclSub4Yr6</vt:lpstr>
      <vt:lpstr>cs.ExclSub4Yr7</vt:lpstr>
      <vt:lpstr>cs.ExclSub4Yr8</vt:lpstr>
      <vt:lpstr>cs.ExclSub4Yr9</vt:lpstr>
      <vt:lpstr>cs.ExclSub5Yr1</vt:lpstr>
      <vt:lpstr>cs.ExclSub5Yr10</vt:lpstr>
      <vt:lpstr>cs.ExclSub5Yr2</vt:lpstr>
      <vt:lpstr>cs.ExclSub5Yr3</vt:lpstr>
      <vt:lpstr>cs.ExclSub5Yr4</vt:lpstr>
      <vt:lpstr>cs.ExclSub5Yr5</vt:lpstr>
      <vt:lpstr>cs.ExclSub5Yr6</vt:lpstr>
      <vt:lpstr>cs.ExclSub5Yr7</vt:lpstr>
      <vt:lpstr>cs.ExclSub5Yr8</vt:lpstr>
      <vt:lpstr>cs.ExclSub5Yr9</vt:lpstr>
      <vt:lpstr>cs.ForgoneIdcCalculation1</vt:lpstr>
      <vt:lpstr>cs.ForgoneIdcCalculation10</vt:lpstr>
      <vt:lpstr>cs.ForgoneIdcCalculation2</vt:lpstr>
      <vt:lpstr>cs.ForgoneIdcCalculation3</vt:lpstr>
      <vt:lpstr>cs.ForgoneIdcCalculation4</vt:lpstr>
      <vt:lpstr>cs.ForgoneIdcCalculation5</vt:lpstr>
      <vt:lpstr>cs.ForgoneIdcCalculation6</vt:lpstr>
      <vt:lpstr>cs.ForgoneIdcCalculation7</vt:lpstr>
      <vt:lpstr>cs.ForgoneIdcCalculation8</vt:lpstr>
      <vt:lpstr>cs.ForgoneIdcCalculation9</vt:lpstr>
      <vt:lpstr>cs.ForgoneIdcCalculationTot</vt:lpstr>
      <vt:lpstr>cs.GRA.Tuition1</vt:lpstr>
      <vt:lpstr>cs.GRA.Tuition10</vt:lpstr>
      <vt:lpstr>cs.GRA.Tuition2</vt:lpstr>
      <vt:lpstr>cs.GRA.Tuition3</vt:lpstr>
      <vt:lpstr>cs.GRA.Tuition4</vt:lpstr>
      <vt:lpstr>cs.GRA.Tuition5</vt:lpstr>
      <vt:lpstr>cs.GRA.Tuition6</vt:lpstr>
      <vt:lpstr>cs.GRA.Tuition7</vt:lpstr>
      <vt:lpstr>cs.GRA.Tuition8</vt:lpstr>
      <vt:lpstr>cs.GRA.Tuition9</vt:lpstr>
      <vt:lpstr>cs.GRA.TutionTot</vt:lpstr>
      <vt:lpstr>cs.GRABenefits1</vt:lpstr>
      <vt:lpstr>cs.GRABenefits10</vt:lpstr>
      <vt:lpstr>cs.GRABenefits2</vt:lpstr>
      <vt:lpstr>cs.GRABenefits3</vt:lpstr>
      <vt:lpstr>cs.GRABenefits4</vt:lpstr>
      <vt:lpstr>cs.GRABenefits5</vt:lpstr>
      <vt:lpstr>cs.GRABenefits6</vt:lpstr>
      <vt:lpstr>cs.GRABenefits7</vt:lpstr>
      <vt:lpstr>cs.GRABenefits8</vt:lpstr>
      <vt:lpstr>cs.GRABenefits9</vt:lpstr>
      <vt:lpstr>cs.GRABenefitsToT</vt:lpstr>
      <vt:lpstr>cs.GRASalary1</vt:lpstr>
      <vt:lpstr>cs.GRASalary10</vt:lpstr>
      <vt:lpstr>cs.GRASalary2</vt:lpstr>
      <vt:lpstr>cs.GRASalary3</vt:lpstr>
      <vt:lpstr>cs.GRASalary4</vt:lpstr>
      <vt:lpstr>cs.GRASalary5</vt:lpstr>
      <vt:lpstr>cs.GRASalary6</vt:lpstr>
      <vt:lpstr>cs.GRASalary7</vt:lpstr>
      <vt:lpstr>cs.GRASalary8</vt:lpstr>
      <vt:lpstr>cs.GRASalary9</vt:lpstr>
      <vt:lpstr>cs.GRASalaryToT</vt:lpstr>
      <vt:lpstr>cs.IDCbase1</vt:lpstr>
      <vt:lpstr>cs.IDCbase10</vt:lpstr>
      <vt:lpstr>cs.IDCbase2</vt:lpstr>
      <vt:lpstr>cs.IDCbase3</vt:lpstr>
      <vt:lpstr>cs.IDCbase4</vt:lpstr>
      <vt:lpstr>cs.IDCbase5</vt:lpstr>
      <vt:lpstr>cs.IDCbase6</vt:lpstr>
      <vt:lpstr>cs.IDCbase7</vt:lpstr>
      <vt:lpstr>cs.IDCbase8</vt:lpstr>
      <vt:lpstr>cs.IDCbase9</vt:lpstr>
      <vt:lpstr>cs.IDCbaseTot</vt:lpstr>
      <vt:lpstr>cs.IDCTot</vt:lpstr>
      <vt:lpstr>cs.IDCYr1</vt:lpstr>
      <vt:lpstr>cs.IDCYr10</vt:lpstr>
      <vt:lpstr>cs.IDCYr2</vt:lpstr>
      <vt:lpstr>cs.IDCYr3</vt:lpstr>
      <vt:lpstr>cs.IDCYr4</vt:lpstr>
      <vt:lpstr>cs.IDCYr5</vt:lpstr>
      <vt:lpstr>cs.IDCYr6</vt:lpstr>
      <vt:lpstr>cs.IDCYr7</vt:lpstr>
      <vt:lpstr>cs.IDCYr8</vt:lpstr>
      <vt:lpstr>cs.IDCYr9</vt:lpstr>
      <vt:lpstr>cs.NICRARate</vt:lpstr>
      <vt:lpstr>cs.Oth.Fringe1</vt:lpstr>
      <vt:lpstr>cs.Oth.Fringe10</vt:lpstr>
      <vt:lpstr>cs.Oth.Fringe2</vt:lpstr>
      <vt:lpstr>cs.Oth.Fringe3</vt:lpstr>
      <vt:lpstr>cs.Oth.Fringe4</vt:lpstr>
      <vt:lpstr>cs.Oth.Fringe5</vt:lpstr>
      <vt:lpstr>cs.Oth.Fringe6</vt:lpstr>
      <vt:lpstr>cs.Oth.Fringe7</vt:lpstr>
      <vt:lpstr>cs.Oth.Fringe8</vt:lpstr>
      <vt:lpstr>cs.Oth.Fringe9</vt:lpstr>
      <vt:lpstr>cs.Oth.FringeTot</vt:lpstr>
      <vt:lpstr>cs.Oth.Salary1</vt:lpstr>
      <vt:lpstr>cs.Oth.Salary10</vt:lpstr>
      <vt:lpstr>cs.Oth.Salary2</vt:lpstr>
      <vt:lpstr>cs.Oth.Salary3</vt:lpstr>
      <vt:lpstr>cs.Oth.Salary4</vt:lpstr>
      <vt:lpstr>cs.Oth.Salary5</vt:lpstr>
      <vt:lpstr>cs.Oth.Salary6</vt:lpstr>
      <vt:lpstr>cs.Oth.Salary7</vt:lpstr>
      <vt:lpstr>cs.Oth.Salary8</vt:lpstr>
      <vt:lpstr>cs.Oth.Salary9</vt:lpstr>
      <vt:lpstr>cs.Oth.SalaryTot</vt:lpstr>
      <vt:lpstr>cs.OthDirCost1</vt:lpstr>
      <vt:lpstr>cs.OthDirCost10</vt:lpstr>
      <vt:lpstr>cs.OthDirCost2</vt:lpstr>
      <vt:lpstr>cs.OthDirCost3</vt:lpstr>
      <vt:lpstr>cs.OthDirCost4</vt:lpstr>
      <vt:lpstr>cs.OthDirCost5</vt:lpstr>
      <vt:lpstr>cs.OthDirCost6</vt:lpstr>
      <vt:lpstr>cs.OthDirCost7</vt:lpstr>
      <vt:lpstr>cs.OthDirCost8</vt:lpstr>
      <vt:lpstr>cs.OthDirCost9</vt:lpstr>
      <vt:lpstr>cs.OthDirCostTot</vt:lpstr>
      <vt:lpstr>cs.OtherRates</vt:lpstr>
      <vt:lpstr>cs.PSCTot</vt:lpstr>
      <vt:lpstr>cs.PSCYr1</vt:lpstr>
      <vt:lpstr>cs.PSCYr10</vt:lpstr>
      <vt:lpstr>cs.PSCYr2</vt:lpstr>
      <vt:lpstr>cs.PSCYr3</vt:lpstr>
      <vt:lpstr>cs.PSCYr4</vt:lpstr>
      <vt:lpstr>cs.PSCYr5</vt:lpstr>
      <vt:lpstr>cs.PSCYr6</vt:lpstr>
      <vt:lpstr>cs.PSCYr7</vt:lpstr>
      <vt:lpstr>cs.PSCYr8</vt:lpstr>
      <vt:lpstr>cs.PSCYr9</vt:lpstr>
      <vt:lpstr>cs.RateOptions</vt:lpstr>
      <vt:lpstr>cs.SrFringe1</vt:lpstr>
      <vt:lpstr>cs.SrFringe10</vt:lpstr>
      <vt:lpstr>cs.SrFringe2</vt:lpstr>
      <vt:lpstr>cs.SrFringe3</vt:lpstr>
      <vt:lpstr>cs.SrFringe4</vt:lpstr>
      <vt:lpstr>cs.SrFringe5</vt:lpstr>
      <vt:lpstr>cs.SrFringe6</vt:lpstr>
      <vt:lpstr>cs.SrFringe7</vt:lpstr>
      <vt:lpstr>cs.SrFringe8</vt:lpstr>
      <vt:lpstr>cs.SrFringe9</vt:lpstr>
      <vt:lpstr>cs.SrFringeTot</vt:lpstr>
      <vt:lpstr>cs.SrSalary1</vt:lpstr>
      <vt:lpstr>cs.SrSalary10</vt:lpstr>
      <vt:lpstr>cs.SrSalary2</vt:lpstr>
      <vt:lpstr>cs.SrSalary3</vt:lpstr>
      <vt:lpstr>cs.SrSalary4</vt:lpstr>
      <vt:lpstr>cs.SrSalary5</vt:lpstr>
      <vt:lpstr>cs.SrSalary6</vt:lpstr>
      <vt:lpstr>cs.SrSalary7</vt:lpstr>
      <vt:lpstr>cs.SrSalary8</vt:lpstr>
      <vt:lpstr>cs.SrSalary9</vt:lpstr>
      <vt:lpstr>cs.SrSalaryTot</vt:lpstr>
      <vt:lpstr>cs.Sub1Yr1</vt:lpstr>
      <vt:lpstr>cs.Sub1Yr10</vt:lpstr>
      <vt:lpstr>cs.Sub1Yr2</vt:lpstr>
      <vt:lpstr>cs.Sub1Yr3</vt:lpstr>
      <vt:lpstr>cs.Sub1Yr4</vt:lpstr>
      <vt:lpstr>cs.Sub1Yr5</vt:lpstr>
      <vt:lpstr>cs.Sub1Yr6</vt:lpstr>
      <vt:lpstr>cs.Sub1Yr7</vt:lpstr>
      <vt:lpstr>cs.Sub1Yr8</vt:lpstr>
      <vt:lpstr>cs.Sub1Yr9</vt:lpstr>
      <vt:lpstr>cs.Sub2Yr1</vt:lpstr>
      <vt:lpstr>cs.Sub2Yr10</vt:lpstr>
      <vt:lpstr>cs.Sub2Yr2</vt:lpstr>
      <vt:lpstr>cs.Sub2Yr3</vt:lpstr>
      <vt:lpstr>cs.Sub2Yr4</vt:lpstr>
      <vt:lpstr>cs.Sub2Yr5</vt:lpstr>
      <vt:lpstr>cs.Sub2Yr6</vt:lpstr>
      <vt:lpstr>cs.Sub2Yr7</vt:lpstr>
      <vt:lpstr>cs.Sub2Yr8</vt:lpstr>
      <vt:lpstr>cs.Sub2Yr9</vt:lpstr>
      <vt:lpstr>cs.Sub3Yr1</vt:lpstr>
      <vt:lpstr>cs.Sub3Yr10</vt:lpstr>
      <vt:lpstr>cs.Sub3Yr2</vt:lpstr>
      <vt:lpstr>cs.Sub3Yr3</vt:lpstr>
      <vt:lpstr>cs.Sub3Yr4</vt:lpstr>
      <vt:lpstr>cs.Sub3Yr5</vt:lpstr>
      <vt:lpstr>cs.Sub3Yr6</vt:lpstr>
      <vt:lpstr>cs.Sub3Yr7</vt:lpstr>
      <vt:lpstr>cs.Sub3Yr8</vt:lpstr>
      <vt:lpstr>cs.Sub3Yr9</vt:lpstr>
      <vt:lpstr>cs.Sub4Yr1</vt:lpstr>
      <vt:lpstr>cs.Sub4Yr10</vt:lpstr>
      <vt:lpstr>cs.Sub4Yr2</vt:lpstr>
      <vt:lpstr>cs.Sub4Yr3</vt:lpstr>
      <vt:lpstr>cs.Sub4Yr4</vt:lpstr>
      <vt:lpstr>cs.Sub4Yr5</vt:lpstr>
      <vt:lpstr>cs.Sub4Yr6</vt:lpstr>
      <vt:lpstr>cs.Sub4Yr7</vt:lpstr>
      <vt:lpstr>cs.Sub4Yr8</vt:lpstr>
      <vt:lpstr>cs.Sub4Yr9</vt:lpstr>
      <vt:lpstr>cs.Sub5Yr1</vt:lpstr>
      <vt:lpstr>cs.Sub5Yr10</vt:lpstr>
      <vt:lpstr>cs.Sub5Yr2</vt:lpstr>
      <vt:lpstr>cs.Sub5Yr3</vt:lpstr>
      <vt:lpstr>cs.Sub5Yr4</vt:lpstr>
      <vt:lpstr>cs.Sub5Yr5</vt:lpstr>
      <vt:lpstr>cs.Sub5Yr6</vt:lpstr>
      <vt:lpstr>cs.Sub5Yr7</vt:lpstr>
      <vt:lpstr>cs.Sub5Yr8</vt:lpstr>
      <vt:lpstr>cs.Sub5Yr9</vt:lpstr>
      <vt:lpstr>cs.SubsExcl1</vt:lpstr>
      <vt:lpstr>cs.SubsExcl10</vt:lpstr>
      <vt:lpstr>cs.SubsExcl2</vt:lpstr>
      <vt:lpstr>cs.SubsExcl3</vt:lpstr>
      <vt:lpstr>cs.SubsExcl4</vt:lpstr>
      <vt:lpstr>cs.SubsExcl5</vt:lpstr>
      <vt:lpstr>cs.SubsExcl6</vt:lpstr>
      <vt:lpstr>cs.SubsExcl7</vt:lpstr>
      <vt:lpstr>cs.SubsExcl8</vt:lpstr>
      <vt:lpstr>cs.SubsExcl9</vt:lpstr>
      <vt:lpstr>cs.SubTot1</vt:lpstr>
      <vt:lpstr>cs.SubTot10</vt:lpstr>
      <vt:lpstr>cs.SubTot2</vt:lpstr>
      <vt:lpstr>cs.SubTot3</vt:lpstr>
      <vt:lpstr>cs.SubTot4</vt:lpstr>
      <vt:lpstr>cs.SubTot5</vt:lpstr>
      <vt:lpstr>cs.SubTot6</vt:lpstr>
      <vt:lpstr>cs.SubTot7</vt:lpstr>
      <vt:lpstr>cs.SubTot8</vt:lpstr>
      <vt:lpstr>cs.SubTot9</vt:lpstr>
      <vt:lpstr>cs.SubTotCombined</vt:lpstr>
      <vt:lpstr>cs.TDCTot</vt:lpstr>
      <vt:lpstr>cs.TDCY1</vt:lpstr>
      <vt:lpstr>cs.TDCY10</vt:lpstr>
      <vt:lpstr>cs.TDCY2</vt:lpstr>
      <vt:lpstr>cs.TDCY3</vt:lpstr>
      <vt:lpstr>cs.TDCY4</vt:lpstr>
      <vt:lpstr>cs.TDCY5</vt:lpstr>
      <vt:lpstr>cs.TDCY6</vt:lpstr>
      <vt:lpstr>cs.TDCY7</vt:lpstr>
      <vt:lpstr>cs.TDCY8</vt:lpstr>
      <vt:lpstr>cs.TDCY9</vt:lpstr>
      <vt:lpstr>cs.Tot.Oth.Per.Ben.Tuit.Tot</vt:lpstr>
      <vt:lpstr>cs.Tot.Oth.Per.Ben.Tuit1</vt:lpstr>
      <vt:lpstr>cs.Tot.Oth.Per.Ben.Tuit10</vt:lpstr>
      <vt:lpstr>cs.Tot.Oth.Per.Ben.Tuit2</vt:lpstr>
      <vt:lpstr>cs.Tot.Oth.Per.Ben.Tuit3</vt:lpstr>
      <vt:lpstr>cs.Tot.Oth.Per.Ben.Tuit4</vt:lpstr>
      <vt:lpstr>cs.Tot.Oth.Per.Ben.Tuit5</vt:lpstr>
      <vt:lpstr>cs.Tot.Oth.Per.Ben.Tuit6</vt:lpstr>
      <vt:lpstr>cs.Tot.Oth.Per.Ben.Tuit7</vt:lpstr>
      <vt:lpstr>cs.Tot.Oth.Per.Ben.Tuit8</vt:lpstr>
      <vt:lpstr>cs.Tot.Oth.Per.Ben.Tuit9</vt:lpstr>
      <vt:lpstr>cs.Tot.Oth.PerSalary1</vt:lpstr>
      <vt:lpstr>cs.Tot.Oth.PerSalary10</vt:lpstr>
      <vt:lpstr>cs.Tot.Oth.PerSalary2</vt:lpstr>
      <vt:lpstr>cs.Tot.Oth.PerSalary3</vt:lpstr>
      <vt:lpstr>cs.Tot.Oth.PerSalary4</vt:lpstr>
      <vt:lpstr>cs.Tot.Oth.PerSalary5</vt:lpstr>
      <vt:lpstr>cs.Tot.Oth.PerSalary6</vt:lpstr>
      <vt:lpstr>cs.Tot.Oth.PerSalary7</vt:lpstr>
      <vt:lpstr>cs.Tot.Oth.PerSalary8</vt:lpstr>
      <vt:lpstr>cs.Tot.Oth.PerSalary9</vt:lpstr>
      <vt:lpstr>cs.Tot.Oth.PerSalaryTot</vt:lpstr>
      <vt:lpstr>cs.Travel1</vt:lpstr>
      <vt:lpstr>cs.Travel10</vt:lpstr>
      <vt:lpstr>cs.Travel2</vt:lpstr>
      <vt:lpstr>cs.Travel3</vt:lpstr>
      <vt:lpstr>cs.Travel4</vt:lpstr>
      <vt:lpstr>cs.Travel5</vt:lpstr>
      <vt:lpstr>cs.Travel6</vt:lpstr>
      <vt:lpstr>cs.Travel7</vt:lpstr>
      <vt:lpstr>cs.Travel8</vt:lpstr>
      <vt:lpstr>cs.Travel9</vt:lpstr>
      <vt:lpstr>cs.TravelTot</vt:lpstr>
      <vt:lpstr>DomesticTravelTOT</vt:lpstr>
      <vt:lpstr>Equip1</vt:lpstr>
      <vt:lpstr>Equip10</vt:lpstr>
      <vt:lpstr>Equip2</vt:lpstr>
      <vt:lpstr>Equip3</vt:lpstr>
      <vt:lpstr>Equip4</vt:lpstr>
      <vt:lpstr>Equip5</vt:lpstr>
      <vt:lpstr>Equip6</vt:lpstr>
      <vt:lpstr>Equip7</vt:lpstr>
      <vt:lpstr>Equip8</vt:lpstr>
      <vt:lpstr>Equip9</vt:lpstr>
      <vt:lpstr>EquipTOT</vt:lpstr>
      <vt:lpstr>ExclSub1ToT</vt:lpstr>
      <vt:lpstr>ExclSub1Yr1</vt:lpstr>
      <vt:lpstr>ExclSub1Yr10</vt:lpstr>
      <vt:lpstr>ExclSub1Yr2</vt:lpstr>
      <vt:lpstr>ExclSub1Yr3</vt:lpstr>
      <vt:lpstr>ExclSub1Yr4</vt:lpstr>
      <vt:lpstr>ExclSub1Yr5</vt:lpstr>
      <vt:lpstr>ExclSub1Yr6</vt:lpstr>
      <vt:lpstr>ExclSub1Yr7</vt:lpstr>
      <vt:lpstr>ExclSub1Yr8</vt:lpstr>
      <vt:lpstr>ExclSub1Yr9</vt:lpstr>
      <vt:lpstr>ExclSub2ToT</vt:lpstr>
      <vt:lpstr>ExclSub2Yr1</vt:lpstr>
      <vt:lpstr>ExclSub2Yr10</vt:lpstr>
      <vt:lpstr>ExclSub2Yr2</vt:lpstr>
      <vt:lpstr>ExclSub2Yr3</vt:lpstr>
      <vt:lpstr>ExclSub2Yr4</vt:lpstr>
      <vt:lpstr>ExclSub2Yr5</vt:lpstr>
      <vt:lpstr>ExclSub2Yr6</vt:lpstr>
      <vt:lpstr>ExclSub2Yr7</vt:lpstr>
      <vt:lpstr>ExclSub2Yr8</vt:lpstr>
      <vt:lpstr>ExclSub2Yr9</vt:lpstr>
      <vt:lpstr>ExclSub3ToT</vt:lpstr>
      <vt:lpstr>ExclSub3Yr1</vt:lpstr>
      <vt:lpstr>ExclSub3Yr10</vt:lpstr>
      <vt:lpstr>ExclSub3Yr2</vt:lpstr>
      <vt:lpstr>ExclSub3Yr3</vt:lpstr>
      <vt:lpstr>ExclSub3Yr4</vt:lpstr>
      <vt:lpstr>ExclSub3Yr5</vt:lpstr>
      <vt:lpstr>ExclSub3Yr6</vt:lpstr>
      <vt:lpstr>ExclSub3Yr7</vt:lpstr>
      <vt:lpstr>ExclSub3Yr8</vt:lpstr>
      <vt:lpstr>ExclSub3Yr9</vt:lpstr>
      <vt:lpstr>ExclSub4ToT</vt:lpstr>
      <vt:lpstr>ExclSub4Yr1</vt:lpstr>
      <vt:lpstr>ExclSub4Yr10</vt:lpstr>
      <vt:lpstr>ExclSub4Yr2</vt:lpstr>
      <vt:lpstr>ExclSub4Yr3</vt:lpstr>
      <vt:lpstr>ExclSub4Yr4</vt:lpstr>
      <vt:lpstr>ExclSub4Yr5</vt:lpstr>
      <vt:lpstr>ExclSub4Yr6</vt:lpstr>
      <vt:lpstr>ExclSub4Yr7</vt:lpstr>
      <vt:lpstr>ExclSub4Yr8</vt:lpstr>
      <vt:lpstr>ExclSub4Yr9</vt:lpstr>
      <vt:lpstr>ExclSub5ToT</vt:lpstr>
      <vt:lpstr>ExclSub5Yr1</vt:lpstr>
      <vt:lpstr>ExclSub5Yr10</vt:lpstr>
      <vt:lpstr>ExclSub5Yr2</vt:lpstr>
      <vt:lpstr>ExclSub5Yr3</vt:lpstr>
      <vt:lpstr>ExclSub5Yr4</vt:lpstr>
      <vt:lpstr>ExclSub5Yr5</vt:lpstr>
      <vt:lpstr>ExclSub5Yr6</vt:lpstr>
      <vt:lpstr>ExclSub5Yr7</vt:lpstr>
      <vt:lpstr>ExclSub5Yr8</vt:lpstr>
      <vt:lpstr>ExclSub5Yr9</vt:lpstr>
      <vt:lpstr>FullInsurance</vt:lpstr>
      <vt:lpstr>GRABenefits1</vt:lpstr>
      <vt:lpstr>GRABenefits10</vt:lpstr>
      <vt:lpstr>GRABenefits2</vt:lpstr>
      <vt:lpstr>GRABenefits3</vt:lpstr>
      <vt:lpstr>GRABenefits4</vt:lpstr>
      <vt:lpstr>GRABenefits5</vt:lpstr>
      <vt:lpstr>GRABenefits6</vt:lpstr>
      <vt:lpstr>GRABenefits7</vt:lpstr>
      <vt:lpstr>GRABenefits8</vt:lpstr>
      <vt:lpstr>GRABenefits9</vt:lpstr>
      <vt:lpstr>GRABenefitsToT</vt:lpstr>
      <vt:lpstr>IDCBase1</vt:lpstr>
      <vt:lpstr>IDCBase10</vt:lpstr>
      <vt:lpstr>IDCBase2</vt:lpstr>
      <vt:lpstr>IDCBase3</vt:lpstr>
      <vt:lpstr>IDCBase4</vt:lpstr>
      <vt:lpstr>IDCBase5</vt:lpstr>
      <vt:lpstr>IDCBase6</vt:lpstr>
      <vt:lpstr>IDCBase7</vt:lpstr>
      <vt:lpstr>IDCBase8</vt:lpstr>
      <vt:lpstr>IDCBase9</vt:lpstr>
      <vt:lpstr>IDCBaseTOT</vt:lpstr>
      <vt:lpstr>IDCRate</vt:lpstr>
      <vt:lpstr>IDCTOT</vt:lpstr>
      <vt:lpstr>IDCYr1</vt:lpstr>
      <vt:lpstr>IDCYr10</vt:lpstr>
      <vt:lpstr>IDCYr2</vt:lpstr>
      <vt:lpstr>IDCYr3</vt:lpstr>
      <vt:lpstr>IDCYr4</vt:lpstr>
      <vt:lpstr>IDCYr5</vt:lpstr>
      <vt:lpstr>IDCYr6</vt:lpstr>
      <vt:lpstr>IDCYr7</vt:lpstr>
      <vt:lpstr>IDCYr8</vt:lpstr>
      <vt:lpstr>IDCYr9</vt:lpstr>
      <vt:lpstr>InternatTravelTOT</vt:lpstr>
      <vt:lpstr>MatSupTOT</vt:lpstr>
      <vt:lpstr>MTDCbase</vt:lpstr>
      <vt:lpstr>MTDCBase1</vt:lpstr>
      <vt:lpstr>NICRARates</vt:lpstr>
      <vt:lpstr>Oth.PerBenefitsTuition1</vt:lpstr>
      <vt:lpstr>Oth.PerBenefitsTuition10</vt:lpstr>
      <vt:lpstr>Oth.PerBenefitsTuition2</vt:lpstr>
      <vt:lpstr>Oth.PerBenefitsTuition3</vt:lpstr>
      <vt:lpstr>Oth.PerBenefitsTuition4</vt:lpstr>
      <vt:lpstr>Oth.PerBenefitsTuition5</vt:lpstr>
      <vt:lpstr>Oth.PerBenefitsTuition6</vt:lpstr>
      <vt:lpstr>Oth.PerBenefitsTuition7</vt:lpstr>
      <vt:lpstr>Oth.PerBenefitsTuition8</vt:lpstr>
      <vt:lpstr>Oth.PerBenefitsTuition9</vt:lpstr>
      <vt:lpstr>Oth.PerBenefitsTuitionToT</vt:lpstr>
      <vt:lpstr>OtherDirCosts1</vt:lpstr>
      <vt:lpstr>OtherDirCosts10</vt:lpstr>
      <vt:lpstr>OtherDirCosts2</vt:lpstr>
      <vt:lpstr>OtherDirCosts3</vt:lpstr>
      <vt:lpstr>OtherDirCosts4</vt:lpstr>
      <vt:lpstr>OtherDirCosts5</vt:lpstr>
      <vt:lpstr>OtherDirCosts6</vt:lpstr>
      <vt:lpstr>OtherDirCosts7</vt:lpstr>
      <vt:lpstr>OtherDirCosts8</vt:lpstr>
      <vt:lpstr>OtherDirCosts9</vt:lpstr>
      <vt:lpstr>OtherDirCostsTOT</vt:lpstr>
      <vt:lpstr>OtherGRASalary1</vt:lpstr>
      <vt:lpstr>OtherGRASalary10</vt:lpstr>
      <vt:lpstr>OtherGRASalary2</vt:lpstr>
      <vt:lpstr>OtherGRASalary3</vt:lpstr>
      <vt:lpstr>OtherGRASalary4</vt:lpstr>
      <vt:lpstr>OtherGRASalary5</vt:lpstr>
      <vt:lpstr>OtherGRASalary6</vt:lpstr>
      <vt:lpstr>OtherGRASalary7</vt:lpstr>
      <vt:lpstr>OtherGRASalary8</vt:lpstr>
      <vt:lpstr>OtherGRASalary9</vt:lpstr>
      <vt:lpstr>OtherGRASalaryTot</vt:lpstr>
      <vt:lpstr>OtherPersonalSalaryToT</vt:lpstr>
      <vt:lpstr>OtherPersonnelBenefits1</vt:lpstr>
      <vt:lpstr>OtherPersonnelBenefits10</vt:lpstr>
      <vt:lpstr>OtherPersonnelBenefits2</vt:lpstr>
      <vt:lpstr>OtherPersonnelBenefits3</vt:lpstr>
      <vt:lpstr>OtherPersonnelBenefits4</vt:lpstr>
      <vt:lpstr>OtherPersonnelBenefits5</vt:lpstr>
      <vt:lpstr>OtherPersonnelBenefits6</vt:lpstr>
      <vt:lpstr>OtherPersonnelBenefits7</vt:lpstr>
      <vt:lpstr>OtherPersonnelBenefits8</vt:lpstr>
      <vt:lpstr>OtherPersonnelBenefits9</vt:lpstr>
      <vt:lpstr>OtherPersonnelBenefitsToT</vt:lpstr>
      <vt:lpstr>OtherPersonnelSalary10</vt:lpstr>
      <vt:lpstr>OtherPersonnelSalary2</vt:lpstr>
      <vt:lpstr>OtherPersonnelSalary3</vt:lpstr>
      <vt:lpstr>OtherPersonnelSalary4</vt:lpstr>
      <vt:lpstr>OtherPersonnelSalary5</vt:lpstr>
      <vt:lpstr>OtherPersonnelSalary6</vt:lpstr>
      <vt:lpstr>OtherPersonnelSalary7</vt:lpstr>
      <vt:lpstr>OtherPersonnelSalary8</vt:lpstr>
      <vt:lpstr>OtherPersonnelSalary9</vt:lpstr>
      <vt:lpstr>OtherPersonnnelSalary1</vt:lpstr>
      <vt:lpstr>OtherRate</vt:lpstr>
      <vt:lpstr>OtherRates</vt:lpstr>
      <vt:lpstr>OtherSalary1</vt:lpstr>
      <vt:lpstr>OtherSalary10</vt:lpstr>
      <vt:lpstr>OtherSalary2</vt:lpstr>
      <vt:lpstr>OtherSalary3</vt:lpstr>
      <vt:lpstr>OtherSalary4</vt:lpstr>
      <vt:lpstr>OtherSalary5</vt:lpstr>
      <vt:lpstr>OtherSalary6</vt:lpstr>
      <vt:lpstr>OtherSalary7</vt:lpstr>
      <vt:lpstr>OtherSalary8</vt:lpstr>
      <vt:lpstr>OtherSalary9</vt:lpstr>
      <vt:lpstr>OtherSalaryTot</vt:lpstr>
      <vt:lpstr>'Budget Details'!Print_Area</vt:lpstr>
      <vt:lpstr>PSCTot</vt:lpstr>
      <vt:lpstr>PSCYr1</vt:lpstr>
      <vt:lpstr>PSCYr10</vt:lpstr>
      <vt:lpstr>PSCYr2</vt:lpstr>
      <vt:lpstr>PSCYr3</vt:lpstr>
      <vt:lpstr>PSCYr4</vt:lpstr>
      <vt:lpstr>PSCYr5</vt:lpstr>
      <vt:lpstr>PSCYr6</vt:lpstr>
      <vt:lpstr>PSCYr7</vt:lpstr>
      <vt:lpstr>PSCYr8</vt:lpstr>
      <vt:lpstr>PSCYr9</vt:lpstr>
      <vt:lpstr>PubTOT</vt:lpstr>
      <vt:lpstr>RateOptions</vt:lpstr>
      <vt:lpstr>SrFringe1</vt:lpstr>
      <vt:lpstr>SrFringe10</vt:lpstr>
      <vt:lpstr>SrFringe2</vt:lpstr>
      <vt:lpstr>SrFringe3</vt:lpstr>
      <vt:lpstr>SrFringe4</vt:lpstr>
      <vt:lpstr>SrFringe5</vt:lpstr>
      <vt:lpstr>SrFringe6</vt:lpstr>
      <vt:lpstr>SrFringe7</vt:lpstr>
      <vt:lpstr>SrFringe8</vt:lpstr>
      <vt:lpstr>SrFringe9</vt:lpstr>
      <vt:lpstr>SrFringeTot</vt:lpstr>
      <vt:lpstr>SrSalary1</vt:lpstr>
      <vt:lpstr>SrSalary10</vt:lpstr>
      <vt:lpstr>SrSalary2</vt:lpstr>
      <vt:lpstr>SrSalary3</vt:lpstr>
      <vt:lpstr>SrSalary4</vt:lpstr>
      <vt:lpstr>SrSalary5</vt:lpstr>
      <vt:lpstr>SrSalary6</vt:lpstr>
      <vt:lpstr>SrSalary7</vt:lpstr>
      <vt:lpstr>SrSalary8</vt:lpstr>
      <vt:lpstr>SrSalary9</vt:lpstr>
      <vt:lpstr>SrSalaryToT</vt:lpstr>
      <vt:lpstr>Sub1TOT</vt:lpstr>
      <vt:lpstr>Sub1Yr1</vt:lpstr>
      <vt:lpstr>Sub1Yr10</vt:lpstr>
      <vt:lpstr>Sub1Yr2</vt:lpstr>
      <vt:lpstr>Sub1Yr3</vt:lpstr>
      <vt:lpstr>Sub1Yr4</vt:lpstr>
      <vt:lpstr>Sub1Yr5</vt:lpstr>
      <vt:lpstr>Sub1Yr6</vt:lpstr>
      <vt:lpstr>Sub1Yr7</vt:lpstr>
      <vt:lpstr>Sub1Yr8</vt:lpstr>
      <vt:lpstr>Sub1Yr9</vt:lpstr>
      <vt:lpstr>Sub2TOT</vt:lpstr>
      <vt:lpstr>Sub2Yr1</vt:lpstr>
      <vt:lpstr>Sub2Yr10</vt:lpstr>
      <vt:lpstr>Sub2Yr2</vt:lpstr>
      <vt:lpstr>Sub2Yr3</vt:lpstr>
      <vt:lpstr>Sub2Yr4</vt:lpstr>
      <vt:lpstr>Sub2Yr5</vt:lpstr>
      <vt:lpstr>Sub2Yr6</vt:lpstr>
      <vt:lpstr>Sub2Yr7</vt:lpstr>
      <vt:lpstr>Sub2Yr8</vt:lpstr>
      <vt:lpstr>Sub2Yr9</vt:lpstr>
      <vt:lpstr>Sub3TOT</vt:lpstr>
      <vt:lpstr>Sub3Yr1</vt:lpstr>
      <vt:lpstr>Sub3Yr10</vt:lpstr>
      <vt:lpstr>Sub3Yr2</vt:lpstr>
      <vt:lpstr>Sub3Yr3</vt:lpstr>
      <vt:lpstr>Sub3Yr4</vt:lpstr>
      <vt:lpstr>Sub3Yr5</vt:lpstr>
      <vt:lpstr>Sub3Yr6</vt:lpstr>
      <vt:lpstr>Sub3Yr7</vt:lpstr>
      <vt:lpstr>Sub3Yr8</vt:lpstr>
      <vt:lpstr>Sub3Yr9</vt:lpstr>
      <vt:lpstr>Sub4TOT</vt:lpstr>
      <vt:lpstr>Sub4Yr1</vt:lpstr>
      <vt:lpstr>Sub4Yr10</vt:lpstr>
      <vt:lpstr>Sub4Yr2</vt:lpstr>
      <vt:lpstr>Sub4Yr3</vt:lpstr>
      <vt:lpstr>Sub4Yr4</vt:lpstr>
      <vt:lpstr>Sub4Yr5</vt:lpstr>
      <vt:lpstr>Sub4Yr6</vt:lpstr>
      <vt:lpstr>Sub4Yr7</vt:lpstr>
      <vt:lpstr>Sub4Yr8</vt:lpstr>
      <vt:lpstr>Sub4Yr9</vt:lpstr>
      <vt:lpstr>Sub5TOT</vt:lpstr>
      <vt:lpstr>Sub5Yr1</vt:lpstr>
      <vt:lpstr>Sub5Yr10</vt:lpstr>
      <vt:lpstr>Sub5Yr2</vt:lpstr>
      <vt:lpstr>Sub5Yr3</vt:lpstr>
      <vt:lpstr>Sub5Yr4</vt:lpstr>
      <vt:lpstr>Sub5Yr5</vt:lpstr>
      <vt:lpstr>Sub5Yr6</vt:lpstr>
      <vt:lpstr>Sub5Yr7</vt:lpstr>
      <vt:lpstr>Sub5Yr8</vt:lpstr>
      <vt:lpstr>Sub5Yr9</vt:lpstr>
      <vt:lpstr>SubAwardTOT</vt:lpstr>
      <vt:lpstr>SubAwrdTtl1</vt:lpstr>
      <vt:lpstr>SubAwrdTtl10</vt:lpstr>
      <vt:lpstr>SubAwrdTtl2</vt:lpstr>
      <vt:lpstr>SubAwrdTtl3</vt:lpstr>
      <vt:lpstr>SubAwrdTtl4</vt:lpstr>
      <vt:lpstr>SubAwrdTtl5</vt:lpstr>
      <vt:lpstr>SubAwrdTtl6</vt:lpstr>
      <vt:lpstr>SubAwrdTtl7</vt:lpstr>
      <vt:lpstr>SubAwrdTtl8</vt:lpstr>
      <vt:lpstr>SubAwrdTtl9</vt:lpstr>
      <vt:lpstr>SubsYr10Excl</vt:lpstr>
      <vt:lpstr>SubsYr1Excl</vt:lpstr>
      <vt:lpstr>SubsYr2Excl</vt:lpstr>
      <vt:lpstr>SubsYr3Excl</vt:lpstr>
      <vt:lpstr>SubsYr4Excl</vt:lpstr>
      <vt:lpstr>SubsYr5Excl</vt:lpstr>
      <vt:lpstr>SubsYr6Excl</vt:lpstr>
      <vt:lpstr>SubsYr7Excl</vt:lpstr>
      <vt:lpstr>SubsYr8Excl</vt:lpstr>
      <vt:lpstr>SubsYr9Excl</vt:lpstr>
      <vt:lpstr>TDCTOT</vt:lpstr>
      <vt:lpstr>TDCYr1</vt:lpstr>
      <vt:lpstr>TDCYr10</vt:lpstr>
      <vt:lpstr>TDCYr2</vt:lpstr>
      <vt:lpstr>TDCYr3</vt:lpstr>
      <vt:lpstr>TDCYr4</vt:lpstr>
      <vt:lpstr>TDCYr5</vt:lpstr>
      <vt:lpstr>TDCYr6</vt:lpstr>
      <vt:lpstr>TDCYr7</vt:lpstr>
      <vt:lpstr>TDCYr8</vt:lpstr>
      <vt:lpstr>TDCYr9</vt:lpstr>
      <vt:lpstr>TotalCostShare1</vt:lpstr>
      <vt:lpstr>TotalCostShare10</vt:lpstr>
      <vt:lpstr>TotalCostShare2</vt:lpstr>
      <vt:lpstr>TotalCostShare3</vt:lpstr>
      <vt:lpstr>TotalCostShare4</vt:lpstr>
      <vt:lpstr>TotalCostShare5</vt:lpstr>
      <vt:lpstr>TotalCostShare6</vt:lpstr>
      <vt:lpstr>TotalCostShare7</vt:lpstr>
      <vt:lpstr>TotalCostShare8</vt:lpstr>
      <vt:lpstr>TotalCostShare9</vt:lpstr>
      <vt:lpstr>TotalCostShareCombined</vt:lpstr>
      <vt:lpstr>TotalCostsTOT</vt:lpstr>
      <vt:lpstr>TotalCostsYr1</vt:lpstr>
      <vt:lpstr>TotalCostsYr10</vt:lpstr>
      <vt:lpstr>TotalCostsYr2</vt:lpstr>
      <vt:lpstr>TotalCostsYr3</vt:lpstr>
      <vt:lpstr>TotalCostsYr4</vt:lpstr>
      <vt:lpstr>TotalCostsYr5</vt:lpstr>
      <vt:lpstr>TotalCostsYr6</vt:lpstr>
      <vt:lpstr>TotalCostsYr7</vt:lpstr>
      <vt:lpstr>TotalCostsYr8</vt:lpstr>
      <vt:lpstr>TotalCostsYr9</vt:lpstr>
      <vt:lpstr>Travel1</vt:lpstr>
      <vt:lpstr>Travel10</vt:lpstr>
      <vt:lpstr>Travel2</vt:lpstr>
      <vt:lpstr>Travel3</vt:lpstr>
      <vt:lpstr>Travel4</vt:lpstr>
      <vt:lpstr>Travel5</vt:lpstr>
      <vt:lpstr>Travel6</vt:lpstr>
      <vt:lpstr>Travel7</vt:lpstr>
      <vt:lpstr>Travel8</vt:lpstr>
      <vt:lpstr>Travel9</vt:lpstr>
      <vt:lpstr>TravelTOT</vt:lpstr>
      <vt:lpstr>Tuition1</vt:lpstr>
      <vt:lpstr>Tuition10</vt:lpstr>
      <vt:lpstr>Tuition2</vt:lpstr>
      <vt:lpstr>Tuition3</vt:lpstr>
      <vt:lpstr>Tuition4</vt:lpstr>
      <vt:lpstr>Tuition5</vt:lpstr>
      <vt:lpstr>Tuition6</vt:lpstr>
      <vt:lpstr>Tuition7</vt:lpstr>
      <vt:lpstr>Tuition8</vt:lpstr>
      <vt:lpstr>Tuition9</vt:lpstr>
      <vt:lpstr>TuitionTotal</vt:lpstr>
    </vt:vector>
  </TitlesOfParts>
  <Manager/>
  <Company>Northern Arizona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Northern Arizona University</dc:creator>
  <cp:keywords/>
  <dc:description/>
  <cp:lastModifiedBy>Elena Kristine Miranda</cp:lastModifiedBy>
  <cp:revision/>
  <dcterms:created xsi:type="dcterms:W3CDTF">2003-10-28T16:25:37Z</dcterms:created>
  <dcterms:modified xsi:type="dcterms:W3CDTF">2025-08-27T22:30:03Z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0x010100C3A01F4FA7C9454A8938C55A82822659</vt:lpwstr>
  </property>
  <property fmtid="{D5CDD505-2E9C-101B-9397-08002B2CF9AE}" pid="3" name="MediaServiceImageTags">
    <vt:lpwstr/>
  </property>
</Properties>
</file>